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EER)" sheetId="1" r:id="rId4"/>
    <sheet state="visible" name="Summary (ELD)" sheetId="2" r:id="rId5"/>
    <sheet state="visible" name="Summary (LaTeX)" sheetId="3" r:id="rId6"/>
    <sheet state="visible" name="#WALSUI-cluster-3-freeze-20" sheetId="4" r:id="rId7"/>
    <sheet state="visible" name="#WALSUI-cluster-3-freeze-20-sam" sheetId="5" r:id="rId8"/>
    <sheet state="visible" name="Sheet7" sheetId="6" r:id="rId9"/>
    <sheet state="visible" name="Sheet8" sheetId="7" r:id="rId10"/>
    <sheet state="visible" name="#WALSUI-volume-10-burst-0.7-gro" sheetId="8" r:id="rId11"/>
    <sheet state="visible" name="#WALSUI-volume-4-burst-0.8-samp" sheetId="9" r:id="rId12"/>
    <sheet state="visible" name="#WALSUI-volume-8-burst-0.8-samp" sheetId="10" r:id="rId13"/>
    <sheet state="visible" name="#WALSUI-volume-9-burst-0.8-samp" sheetId="11" r:id="rId14"/>
    <sheet state="visible" name="#TURITA-cluster-3-freeze-20" sheetId="12" r:id="rId15"/>
    <sheet state="visible" name="#TURITA-cluster-3-freeze-20-sam" sheetId="13" r:id="rId16"/>
    <sheet state="visible" name="Sheet9" sheetId="14" r:id="rId17"/>
    <sheet state="visible" name="Sheet10" sheetId="15" r:id="rId18"/>
    <sheet state="visible" name="#TURITA-volume-15-burst-0.6-gro" sheetId="16" r:id="rId19"/>
    <sheet state="visible" name="#TURITA-volume-4-burst-0.8-samp" sheetId="17" r:id="rId20"/>
    <sheet state="visible" name="#TURITA-volume-10-burst-0.6-sam" sheetId="18" r:id="rId21"/>
    <sheet state="visible" name="#TURITA-volume-14-burst-0.5-sam" sheetId="19" r:id="rId22"/>
    <sheet state="visible" name="#SOUARS-cluster-3-freeze-20" sheetId="20" r:id="rId23"/>
    <sheet state="visible" name="#SOUARS-cluster-3-freeze-20-sam" sheetId="21" r:id="rId24"/>
    <sheet state="visible" name="Sheet11" sheetId="22" r:id="rId25"/>
    <sheet state="visible" name="Sheet12" sheetId="23" r:id="rId26"/>
    <sheet state="visible" name="#SOUARS-volume-15-burst-0.7-gro" sheetId="24" r:id="rId27"/>
    <sheet state="visible" name="#SOUARS-volume-4-burst-0.8-samp" sheetId="25" r:id="rId28"/>
    <sheet state="visible" name="#SOUARS-volume-8-burst-0.6-samp" sheetId="26" r:id="rId29"/>
    <sheet state="visible" name="#SOUARS-volume-12-burst-0.6-sam" sheetId="27" r:id="rId30"/>
    <sheet state="visible" name="#LEIMUN-cluster-10-freeze-5" sheetId="28" r:id="rId31"/>
    <sheet state="visible" name="#LEIMUN-cluster-3-freeze-20-sam" sheetId="29" r:id="rId32"/>
    <sheet state="visible" name="Sheet13" sheetId="30" r:id="rId33"/>
    <sheet state="visible" name="Sheet14" sheetId="31" r:id="rId34"/>
    <sheet state="visible" name="#LEIMUN-volume-30-burst-0.6-gro" sheetId="32" r:id="rId35"/>
    <sheet state="visible" name="#LEIMUN-volume-4-burst-0.8-samp" sheetId="33" r:id="rId36"/>
    <sheet state="visible" name="#LEIMUN-volume-10-burst-0.6-sam" sheetId="34" r:id="rId37"/>
    <sheet state="visible" name="#LEIMUN-volume-14-burst-0.6-sam" sheetId="35" r:id="rId38"/>
    <sheet state="visible" name="#SCOCZE-cluster-3-freeze-20" sheetId="36" r:id="rId39"/>
    <sheet state="visible" name="#SCOCZE-cluster-3-freeze-20-sam" sheetId="37" r:id="rId40"/>
    <sheet state="visible" name="Sheet15" sheetId="38" r:id="rId41"/>
    <sheet state="visible" name="Sheet16" sheetId="39" r:id="rId42"/>
    <sheet state="visible" name="#SCOCZE-volume-15-burst-0.7-gro" sheetId="40" r:id="rId43"/>
    <sheet state="visible" name="#SCOCZE-volume-3-burst-0.8-samp" sheetId="41" r:id="rId44"/>
    <sheet state="visible" name="#SCOCZE-volume-5-burst-0.8-samp" sheetId="42" r:id="rId45"/>
    <sheet state="visible" name="#SCOCZE-volume-9-burst-0.6-samp" sheetId="43" r:id="rId46"/>
    <sheet state="visible" name="#HUNFRA-cluster-5-freeze-20" sheetId="44" r:id="rId47"/>
    <sheet state="visible" name="#HUNFRA-cluster-3-freeze-20-sam" sheetId="45" r:id="rId48"/>
    <sheet state="visible" name="Sheet17" sheetId="46" r:id="rId49"/>
    <sheet state="visible" name="Sheet18" sheetId="47" r:id="rId50"/>
    <sheet state="visible" name="#HUNFRA-volume-15-burst-0.7-gro" sheetId="48" r:id="rId51"/>
    <sheet state="visible" name="#HUNFRA-volume-3-burst-0.8-samp" sheetId="49" r:id="rId52"/>
    <sheet state="visible" name="#HUNFRA-volume-7-burst-0.8-samp" sheetId="50" r:id="rId53"/>
    <sheet state="visible" name="#HUNFRA-volume-14-burst-0.5-sam" sheetId="51" r:id="rId54"/>
  </sheets>
  <definedNames/>
  <calcPr/>
</workbook>
</file>

<file path=xl/comments1.xml><?xml version="1.0" encoding="utf-8"?>
<comments xmlns:r="http://schemas.openxmlformats.org/officeDocument/2006/relationships" xmlns="http://schemas.openxmlformats.org/spreadsheetml/2006/main">
  <authors>
    <author/>
  </authors>
  <commentList>
    <comment authorId="0" ref="T10">
      <text>
        <t xml:space="preserve">The drops in recall are very slow and gradual if we focus only on goals and discipline.</t>
      </text>
    </comment>
    <comment authorId="0" ref="F11">
      <text>
        <t xml:space="preserve">Precision increases with more data... whereas in ELD, it's the opposite (because of clustering's aggressive filtering)</t>
      </text>
    </comment>
    <comment authorId="0" ref="K11">
      <text>
        <t xml:space="preserve">Test of normalcy using ARRAY_FORMULA of differences and a calculator (https://scistatcalc.blogspot.com/2013/10/shapiro-wilk-test-calculator.html).
More on assumptions: https://libguides.library.kent.edu/spss/pairedsamplesttest</t>
      </text>
    </comment>
    <comment authorId="0" ref="F14">
      <text>
        <t xml:space="preserve">Underlined values use the Wilcoxon Signed-Rank test, which does not assume a normal distribution of differences.
Calculators:
- Wilcoxon Signed-Ranks: https://www.statskingdom.com/175wilcoxon_signed_ranks.html
- Wilcoxon Signed-Ranks (works even when the first doesn't): statziki.com/Wilcoxon
- Shapiro-Wilk: https://scistatcalc.blogspot.com/2013/10/shapiro-wilk-test-calculator.html</t>
      </text>
    </comment>
    <comment authorId="0" ref="F36">
      <text>
        <t xml:space="preserve">Even though results might seem poor compared to when using 100% of the data, they are comparable to ELD.
With 25,000 tweets, FUEGO achieves more precision (ELD=53.74% micro), but much lower recall (ELD=58.65% micro), leading to a comparable final F-score (ELD=55.78%).</t>
      </text>
    </comment>
  </commentList>
</comments>
</file>

<file path=xl/sharedStrings.xml><?xml version="1.0" encoding="utf-8"?>
<sst xmlns="http://schemas.openxmlformats.org/spreadsheetml/2006/main" count="7563" uniqueCount="2441">
  <si>
    <t>Ground truth topics (count)</t>
  </si>
  <si>
    <t>Topic types (count)</t>
  </si>
  <si>
    <t>100% (87,717–209,132)</t>
  </si>
  <si>
    <t>Discipline</t>
  </si>
  <si>
    <t>Half</t>
  </si>
  <si>
    <t>Substitution</t>
  </si>
  <si>
    <t>Recall</t>
  </si>
  <si>
    <t>No substitutions</t>
  </si>
  <si>
    <t>No halves</t>
  </si>
  <si>
    <t>Goals and discipline</t>
  </si>
  <si>
    <t>Total</t>
  </si>
  <si>
    <t>Noise</t>
  </si>
  <si>
    <t>Opinion</t>
  </si>
  <si>
    <t>Topic</t>
  </si>
  <si>
    <t>Valid</t>
  </si>
  <si>
    <t>Precision</t>
  </si>
  <si>
    <t>Configurations</t>
  </si>
  <si>
    <t>#WALSUI</t>
  </si>
  <si>
    <t>#WALSUI-volume-4-burst-0.8-sample-0.12-grouped</t>
  </si>
  <si>
    <t>#WALSUI-volume-8-burst-0.8-sample-0.29-grouped</t>
  </si>
  <si>
    <t>#WALSUI-volume-9-burst-0.8-sample-0.57-grouped</t>
  </si>
  <si>
    <t>#WALSUI-volume-10-burst-0.7-grouped</t>
  </si>
  <si>
    <t>#TURITA</t>
  </si>
  <si>
    <t>#TURITA-volume-4-burst-0.8-sample-0.09-grouped</t>
  </si>
  <si>
    <t>#TURITA-volume-10-burst-0.6-sample-0.23-grouped</t>
  </si>
  <si>
    <t>#TURITA-volume-14-burst-0.5-sample-0.46-grouped</t>
  </si>
  <si>
    <t>#TURITA-volume-15-burst-0.6-grouped</t>
  </si>
  <si>
    <t>#SOUARS</t>
  </si>
  <si>
    <t>#SOUARS-volume-4-burst-0.8-sample-0.10-grouped</t>
  </si>
  <si>
    <t>#SOUARS-volume-8-burst-0.6-sample-0.26-grouped</t>
  </si>
  <si>
    <t>#SOUARS-volume-12-burst-0.6-sample-0.51-grouped</t>
  </si>
  <si>
    <t>#SOUARS-volume-15-burst-0.7-grouped</t>
  </si>
  <si>
    <t>#LEIMUN</t>
  </si>
  <si>
    <t>#LEIMUN-volume-4-burst-0.8-sample-0.05-grouped</t>
  </si>
  <si>
    <t>#LEIMUN-volume-10-burst-0.6-sample-0.12-grouped</t>
  </si>
  <si>
    <t>#LEIMUN-volume-14-burst-0.6-sample-0.24-grouped</t>
  </si>
  <si>
    <t>#LEIMUN-volume-30-burst-0.6-grouped</t>
  </si>
  <si>
    <t>#SCOCZE</t>
  </si>
  <si>
    <t>#SCOCZE-volume-3-burst-0.8-sample-0.08-grouped</t>
  </si>
  <si>
    <t>#SCOCZE-volume-5-burst-0.8-sample-0.21-grouped</t>
  </si>
  <si>
    <t>#SCOCZE-volume-9-burst-0.6-sample-0.42-grouped</t>
  </si>
  <si>
    <t>#SCOCZE-volume-15-burst-0.7-grouped</t>
  </si>
  <si>
    <t>#HUNFRA</t>
  </si>
  <si>
    <t>#HUNFRA-volume-3-burst-0.8-sample-0.08-grouped</t>
  </si>
  <si>
    <t>#HUNFRA-volume-7-burst-0.8-sample-0.20-grouped</t>
  </si>
  <si>
    <t>#HUNFRA-volume-14-burst-0.5-sample-0.41-grouped</t>
  </si>
  <si>
    <t>#HUNFRA-volume-15-burst-0.7-grouped</t>
  </si>
  <si>
    <t>Macro-average</t>
  </si>
  <si>
    <t>NOTE</t>
  </si>
  <si>
    <t>Micro-average</t>
  </si>
  <si>
    <t>x - 100% (macro)</t>
  </si>
  <si>
    <t>1-tailed t-test (ELD)</t>
  </si>
  <si>
    <t>1-tailed t-test</t>
  </si>
  <si>
    <t>Normal</t>
  </si>
  <si>
    <t>Normal (diff)</t>
  </si>
  <si>
    <t>NOTE ON TESTS</t>
  </si>
  <si>
    <t>F1</t>
  </si>
  <si>
    <t>Topics</t>
  </si>
  <si>
    <t>Precise</t>
  </si>
  <si>
    <t>#WALSUI-cluster-3-freeze-20-sample-0.12</t>
  </si>
  <si>
    <t>#WALSUI-cluster-3-freeze-20-sample-0.29</t>
  </si>
  <si>
    <t>#WALSUI-cluster-3-freeze-20-sample-0.57</t>
  </si>
  <si>
    <t>#WALSUI-cluster-3-freeze-20</t>
  </si>
  <si>
    <t>#TURITA-cluster-3-freeze-20-sample-0.09</t>
  </si>
  <si>
    <t>#TURITA-cluster-3-freeze-20-sample-0.23</t>
  </si>
  <si>
    <t>#TURITA-cluster-3-freeze-20-sample-0.46</t>
  </si>
  <si>
    <t>#TURITA-cluster-3-freeze-20</t>
  </si>
  <si>
    <t>#SOUARS-cluster-3-freeze-20-sample-0.10</t>
  </si>
  <si>
    <t>#SOUARS-cluster-3-freeze-20-sample-0.26</t>
  </si>
  <si>
    <t>#SOUARS-cluster-3-freeze-20-sample-0.51</t>
  </si>
  <si>
    <t>#SOUARS-cluster-3-freeze-20</t>
  </si>
  <si>
    <t>#LEIMUN-cluster-3-freeze-20-sample-0.05</t>
  </si>
  <si>
    <t>#LEIMUN-cluster-3-freeze-20-sample-0.12</t>
  </si>
  <si>
    <t>#LEIMUN-cluster-3-freeze-20-sample-0.24</t>
  </si>
  <si>
    <t>#LEIMUN-cluster-10-freeze-5</t>
  </si>
  <si>
    <t>#SCOCZE-cluster-3-freeze-20-sample-0.08</t>
  </si>
  <si>
    <t>#SCOCZE-cluster-3-freeze-20-sample-0.21</t>
  </si>
  <si>
    <t>#SCOCZE-cluster-3-freeze-20-sample-0.42</t>
  </si>
  <si>
    <t>#SCOCZE-cluster-3-freeze-20</t>
  </si>
  <si>
    <t>#HUNFRA-cluster-3-freeze-20-sample-0.08</t>
  </si>
  <si>
    <t>#HUNFRA-cluster-3-freeze-20-sample-0.20</t>
  </si>
  <si>
    <t>#HUNFRA-cluster-3-freeze-20-sample-0.41</t>
  </si>
  <si>
    <t>#HUNFRA-cluster-5-freeze-20</t>
  </si>
  <si>
    <t>Dataset</t>
  </si>
  <si>
    <t>Offset</t>
  </si>
  <si>
    <t>Sheet</t>
  </si>
  <si>
    <t>Data</t>
  </si>
  <si>
    <t>Algorithm</t>
  </si>
  <si>
    <t>Topics (precise)</t>
  </si>
  <si>
    <t>F-score</t>
  </si>
  <si>
    <t>Row Start</t>
  </si>
  <si>
    <t>Row End</t>
  </si>
  <si>
    <t>Goals</t>
  </si>
  <si>
    <t>Redundant</t>
  </si>
  <si>
    <t>Subjective</t>
  </si>
  <si>
    <t>Summary (ELD)</t>
  </si>
  <si>
    <t>ELD</t>
  </si>
  <si>
    <t>Summary (SEER)</t>
  </si>
  <si>
    <t>SEER</t>
  </si>
  <si>
    <t>Legend</t>
  </si>
  <si>
    <t>Back to summary</t>
  </si>
  <si>
    <t>Count</t>
  </si>
  <si>
    <t>%</t>
  </si>
  <si>
    <t>Timestamp</t>
  </si>
  <si>
    <t>Date</t>
  </si>
  <si>
    <t>Query</t>
  </si>
  <si>
    <t>Summary</t>
  </si>
  <si>
    <t>Type</t>
  </si>
  <si>
    <t>Already reported, no new information</t>
  </si>
  <si>
    <t>[["masterclass", 0.7071067811865475], ["littl", 0.7071067811865475]]</t>
  </si>
  <si>
    <t>Bale masterclass? About to witness a Ramsey masterclass. Granit Xhaka masterclass incoming!!! 🔥🔥🔥. No little car delivering the ball? Might switch off #WALSUI. I miss the little 🚗 #WALSUI EURO 2020. #WALSUI taking the knee like good little. Where was the little car? EURO 2020.</t>
  </si>
  <si>
    <t>Unrelated to the event or illegible</t>
  </si>
  <si>
    <t>[["soni", 0.718550745096038], ["ten", 0.6954745334819447]]</t>
  </si>
  <si>
    <t>Will be interesting to see who is gonna stopped bale. Euro On Sony Ten. So Sony LIV has screwed up, can't watch Wales v Switzerland. If you have Jio TV, the Sony Ten 2 HD stream is available there. EURO 2020.</t>
  </si>
  <si>
    <t>Subjective content</t>
  </si>
  <si>
    <t>[["sommer", 0.464881550476438], ["cross", 0.38591935207462486], ["header", 0.38591935207462486], ["keeper", 0.38591935207462486], ["unlucki", 0.38591935207462486], ["yann", 0.32782282874190066], ["save", 0.2840463901539473]]</t>
  </si>
  <si>
    <t>Great header by Moore, great save by the keeper. Very unlucky there. Yann Sommer is the most underrated keeper in the sport. Some save from Sommer too, amazed he's only 32 all the same. Yann having an excellent start to his Sommer this tournament 🤣🤣🤣🤣.</t>
  </si>
  <si>
    <t>Key or non-key topic (enumerable)</t>
  </si>
  <si>
    <t>[["seferov", 1.0]]</t>
  </si>
  <si>
    <t>Seferovic close! Thought that was in from seferovic. Seferovic HAS to do better there man. I thought that Seferovic’s shot was going in.🥺😯. Trying Seferovic. So close from seferovic. Seferovic will score if Wales don't get serious. Seferovic looking sharp.</t>
  </si>
  <si>
    <t>Newsworthy (non-enumerable)</t>
  </si>
  <si>
    <t>[["jame", 0.6726414810711769], ["daniel", 0.5464270426167691], ["dan", 0.49896986385899605]]</t>
  </si>
  <si>
    <t>Lmao. Daniel James only knows one thing. Run x 1000 😂. Dan James bossing it for #WAL. You love to see it.. Is Daniel James this good ?😬. #Wal need to get the ball to Dan James more EURO 2020. Daniel James with an exquisite run there...! ⚡Love it!! #WAL. EURO 2020.</t>
  </si>
  <si>
    <t>[["cynic", 0.7277194126673154], ["foul", 0.685874956845005]]</t>
  </si>
  <si>
    <t>It's always good to start the day by seeing a brutally cynical foul. #WALSUI. What a foul😔 #WAL #WALSUI. Robbie Savage who made a career out of a cynical foul complains about “a cynical foul” bit of Saturday irony for you right there #WALSUI.</t>
  </si>
  <si>
    <t>[["ben", 0.7538689932296285], ["davi", 0.657024764409186]]</t>
  </si>
  <si>
    <t>@KopiteMay Ben Davies has been superb... shame it’s not r Ben Davies😂. Ben davies has been excellent so far. Wait, is that our Ben Davies? That Ben Davies is doing quite well 😉. I ain't even notice Ben Davies playing yc.</t>
  </si>
  <si>
    <t>Precision (with redundancy)</t>
  </si>
  <si>
    <t>[["mbabu", 1.0]]</t>
  </si>
  <si>
    <t>MBABU GET THE FUCK UP. Mbabu’s not like this on ultimate team EURO 2020. Mbabu nice with it. Mbabu would be a perfect signing for us.</t>
  </si>
  <si>
    <t>[["pen", 0.6540254922934176], ["penalti", 0.39207704073279204], ["embolo", 0.2890918900557825], ["shouldv", 0.21800849743113918], ["worst", 0.21800849743113918], ["donkey", 0.21800849743113918], ["shite", 0.21800849743113918], ["foul", 0.21800849743113918], ["goe", 0.18770858987095992], ["var", 0.18040323829898475], ["feet", 0.12459991054956523], ["stay", 0.11835802927797293]]</t>
  </si>
  <si>
    <t>Mepham’s being fouled there but you can’t just foul back and hope. Embolo shouldve gotten a retrospective penalty there after seferovic missed. Embolo goes down there it’s a pen. Robbed because he’s stayed on his feet and played the pass.</t>
  </si>
  <si>
    <t>[["bore", 0.7071067811865476], ["chanc", 0.5697117594240808], ["miss", 0.4188418689361395]]</t>
  </si>
  <si>
    <t>Another summer of watching Seferovic miss chance after chance is it? Seferovic has missed 2 big chances now so it’s not my fault if my prediction isn’t right now. Idk if this is just me but this Euro is boring 😴 😞 EURO 2020. Man this #SUIWAL game is boring...</t>
  </si>
  <si>
    <t>Gold</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</si>
  <si>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</si>
  <si>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[["save", 0.6155109283518454], ["embolo", 0.6046866684072533], ["yellow", 0.3574215509241057], ["danni", 0.2802062056829729], ["ward", 0.22188881756804368]]</t>
  </si>
  <si>
    <t>If that’s a yellow for Moore, there are going to be 12 bookings a game during this tournament #bbcfootball. What a turn from embolo and what a save from ward. Embolo playing really good for the swiss well deserved goal. Embolo is having a the time of his life today.</t>
  </si>
  <si>
    <t>Topic type</t>
  </si>
  <si>
    <t>[["deserv", 0.45183260169854117], ["fuck", 0.45183260169854117], ["mode", 0.3247839138942553], ["career", 0.2434192903743183], ["breel", 0.22591630084927058], ["corner", 0.22591630084927058], ["tbf", 0.22591630084927058], ["header", 0.22591630084927058], ["assist", 0.22591630084927058], ["bulli", 0.22591630084927058], ["connor", 0.1858836484254538], ["poor", 0.16238081324120435], ["defend", 0.15706892270765482], ["fifa", 0.13657107497014861], ["robert", 0.12839565505678308]]</t>
  </si>
  <si>
    <t>Oh fuck off embolo they deserve it we’ve been fucking shit. What a run to make the corner and a lovely header, fantastic. Embolo has been bullying the welsh defenders all game and deserves that goal. Embolo showing why he was a wonderkid on career mode on fifa 16.</t>
  </si>
  <si>
    <t>Goal</t>
  </si>
  <si>
    <t>Goal, own-goal, cancelled goal</t>
  </si>
  <si>
    <t>[["mbabu", 0.35355339059327373], ["immens", 0.35355339059327373], ["bulli", 0.35355339059327373], ["lmao", 0.35355339059327373], ["prime", 0.35355339059327373], ["aw", 0.31180269469156124], ["defenc", 0.2775258738492251], ["half", 0.26137486995107323], ["second", 0.23808229114753482], ["welsh", 0.21904198078045212], ["mepham", 0.16667057203682067]]</t>
  </si>
  <si>
    <t>Kevin mbabu in my fantasy team so of course he misses that. Mepham is fucking awful get that cunt off the pitch! Mbabu has been watching my finishing by the looks of it. Embolo has turned into prime lukaku in this 2nd half. Embolo is bullying this Wales defence at the moment 😭.</t>
  </si>
  <si>
    <t>Yellow or red card</t>
  </si>
  <si>
    <t>[["move", 0.5773502691896257], ["problem", 0.4285465418387519], ["mode", 0.4038056517859122], ["caus", 0.38688653997183753], ["career", 0.3010385885200685], ["fifa", 0.2822234879327603]]</t>
  </si>
  <si>
    <t>Few players gunna get big moves after this tournament, can see Embolo getting a move. Embolo playing for a move. Best Swiss player so far. Embolo is finally living up to his FIFA 16 career mode potential 🤣. The power and pace of Embolo is causing Wales serious problems.</t>
  </si>
  <si>
    <t>The start and end of each half</t>
  </si>
  <si>
    <t>[["seferov", 0.5773502691896257], ["daniel", 0.48614785981060543], ["chri", 0.46174873872653627], ["mepham", 0.34658539440920816], ["jame", 0.31143794202842595]]</t>
  </si>
  <si>
    <t>Fuck off chris mepham. Chris Mepham is not having a great time of it #WALSUI. Seferovic isn't a footballer. That Chris Mepham’s never played or watched a game of football in his life. Shite. Daniel James has been good today as well. Daniel James is actually wales best player 😭.</t>
  </si>
  <si>
    <t>Substitutions</t>
  </si>
  <si>
    <t>[["come", 0.5773502691896257], ["injur", 0.5773502691896257], ["dan", 0.41703439503909695], ["jame", 0.39926889020772427]]</t>
  </si>
  <si>
    <t>Come ooonnnn Wales EURO 2020. Come and sign him. Embolo injured now i want to die. Gareth Bale.. where are you? Dan James is out here doing more. Its just dan james and hope!!!! EURO 2020. Dan James is playing better than Bale in this game. Go James Go Bale Go Wales!!!</t>
  </si>
  <si>
    <t>[["mbabu", 0.846903910595824], ["tackl", 0.3662471604251016], ["corner", 0.2239917446703242], ["yellow", 0.17884537355500973], ["wilson", 0.16091876729925433], ["harri", 0.12250592192068574], ["neco", 0.09627954666338535], ["ref", 0.09575237644636965], ["superb", 0.08436821143049349]]</t>
  </si>
  <si>
    <t>Mbabu couldn’t of made much more of a better tackle🙈. What a tackle that was by mbabu shite performance from ref. Mbabu booked for tackling and winning the ball. Game's gone. Mbabu with the best tackle of the game and it gets given as a yellow.</t>
  </si>
  <si>
    <t>Detail</t>
  </si>
  <si>
    <t>Time</t>
  </si>
  <si>
    <t>Captured</t>
  </si>
  <si>
    <t>[["zakaria", 0.9533719083942997], ["deni", 0.3017979527508612]]</t>
  </si>
  <si>
    <t>Get Zakaria on, so we can close up the game. Denis Zakaria is on. Should have started this game to begin with. Dennis Zakaria comes on for Switzerland.. That's my son's name too Zakaria 😍👌. Zakaria is not a good player and Zakaria got Shaqiri is not a good change.</t>
  </si>
  <si>
    <t>Game start</t>
  </si>
  <si>
    <t>[["head", 0.39722436376438697], ["deserv", 0.39722436376438697], ["kieffer", 0.31095732251958347], ["corner", 0.30101052304488424], ["finish", 0.19861218188219348], ["fuck", 0.19861218188219348], ["header", 0.19861218188219348], ["kiefer", 0.19861218188219348], ["level", 0.19861218188219348], ["keiffer", 0.19861218188219348], ["that", 0.19861218188219348], ["brook", 0.19861218188219348], ["tie", 0.19861218188219348], ["piec", 0.16440620653509658], ["short", 0.14481495809941955], ["wal", 0.14163455995522253], ["score", 0.1392352333940515], ["big", 0.12093439089848323], ["set", 0.11143337940107839], ["work", 0.11042351001848756], ["lad", 0.1004756774818039], ["dog", 0.07296450656338277]]</t>
  </si>
  <si>
    <t>1-1. Wales level. Moore heads home from a short taken corner. Great header from moore there! catching switzerland out on a set piece. Kieffer Moore has been Wales best player by country mile and deserves his goal. Moore with a fantastic header to level the game! 1-1..</t>
  </si>
  <si>
    <t>Schär</t>
  </si>
  <si>
    <t>[["jame", 0.394916179804825], ["dan", 0.3628864699226613], ["take", 0.21122356946045556], ["nice", 0.2079722437763101], ["keifer", 0.2079722437763101], ["piss", 0.2079722437763101], ["wtf", 0.2079722437763101], ["angri", 0.2079722437763101], ["equalis", 0.2079722437763101], ["crack", 0.2079722437763101], ["embolo", 0.2079722437763101], ["taken", 0.2079722437763101], ["superb", 0.2079722437763101], ["equal", 0.2079722437763101], ["let", 0.2079722437763101], ["daniel", 0.17832884046798997], ["assist", 0.15180356801975706], ["david", 0.14932435397460858], ["brook", 0.14475735384227897], ["morrel", 0.1421553056267122], ["best", 0.0969387493679512], ["stupid", 0.09589077739377422], ["bad", 0.08795267246021908], ["player", 0.06384242936416124]]</t>
  </si>
  <si>
    <t>David Brooks on, disappointed he didn’t start but James did well tbf. Joe Morrell with the assist - the one we let away. Daniel James has been Wales' best player tonight and what does their manager do? He takes him off. 🤦‍♂️.</t>
  </si>
  <si>
    <t>Half-time</t>
  </si>
  <si>
    <t>[["headband", 0.37796447300922725], ["piss", 0.37796447300922725], ["sub", 0.37796447300922725], ["tbf", 0.37796447300922725], ["zakaria", 0.37796447300922725], ["savag", 0.29732474343708315], ["ben", 0.28598322649900615], ["davi", 0.2471249421211081], ["robbi", 0.23335625082096162]]</t>
  </si>
  <si>
    <t>I recently got a promotion and wore a headband for my interview, power of the headband #WALSUI EURO 2020. Daniel James pissed off about being subbed off actually love him 😂😂. Zakaria is so good ffs @manutd are you watching. Ben davies can’t cross for the life of him.</t>
  </si>
  <si>
    <t>Second half</t>
  </si>
  <si>
    <t>[["gareth", 0.5748831635004388], ["ben", 0.534980017030748], ["davi", 0.4623812078553586], ["bale", 0.41171513006413535]]</t>
  </si>
  <si>
    <t>🏴󠁧󠁢󠁷󠁬󠁳󠁿 Gareth Bale has scored for Wales in his last two matches against Switzerland.... EURO 2020. Ben Davies is pure shite, Paratici - do your thing! Bale and Ben Davies have been shocking. Says alot 🐓👀. Ben Davies is still doing what Ben Davies does 😬.</t>
  </si>
  <si>
    <t>Moore</t>
  </si>
  <si>
    <t>[["close", 0.5773502691896257], ["throw", 0.5075261076916818], ["ben", 0.4386932680743805], ["davi", 0.37534191063556044], ["long", 0.27522823863961476]]</t>
  </si>
  <si>
    <t>Is this a gareth bale long throw 😭😭. Did they just long throw to Joe Allen. Oooooh ramsey so close 😂. Ben Davies - What a player though 🔥🔥🔥. How Ben Davies made it to be a international footballer I do not know. Ben Davies isn’t very good at anything. Ben Davies is so crap.</t>
  </si>
  <si>
    <t>Embolo</t>
  </si>
  <si>
    <t>[["gavranov", 0.49229985213623706], ["offsid", 0.45997149040904256], ["sub", 0.2793019573348434], ["fuck", 0.2793019573348434], ["seferov", 0.2793019573348434], ["var", 0.2793019573348434], ["miss", 0.24016858404171967], ["level", 0.23808265710900076], ["savag", 0.19852829691677548], ["robbi", 0.19645889823166404], ["header", 0.14603503605297144], ["ramsey", 0.14257852085945533]]</t>
  </si>
  <si>
    <t>And he scores with his first touch! I think he’s offside though. Robbie Savage trying to remain calm in the commentary box #wal. This Gavranovic is absolutely fucking shit doesn’t know the fucking offside rule. Gavranovic has been on for 7 minutes and been offside 3 times..</t>
  </si>
  <si>
    <t>Mbabu</t>
  </si>
  <si>
    <t>[["bale", 0.6444845085442471], ["clearli", 0.4011949434853973], ["embolo", 0.4011949434853973], ["disallow", 0.4011949434853973], ["gareth", 0.26561166712543827], ["bring", 0.1766861978157101]]</t>
  </si>
  <si>
    <t>Switzerland have the ball in the back of the net late on but it's disallowed for offside, the score remains levels. 🏴󠁧󠁢󠁷󠁬󠁳󠁿 1- 1 🇨🇭. EURO 2020. Nice Swiss move but clearly offside. Wales fans go potty. #WAL. Embolo is one to watch out for in this tournament👍⚒️.</t>
  </si>
  <si>
    <t>Zakaria for Shaqiri</t>
  </si>
  <si>
    <t>[["save", 0.7071067811865475], ["zakaria", 0.35355339059327373], ["danni", 0.27006404949305163], ["commit", 0.2658537739861972], ["allen", 0.23613476066753092], ["foul", 0.23307031311880103], ["ward", 0.2281784590433868], ["mark", 0.1935815272525171], ["joe", 0.17823177918393474]]</t>
  </si>
  <si>
    <t>What a save! Wales can’t defend set pieces well at all. Embolo been fantastic in this game. @markgoldbridge Mark it was embolo that did that not zakaria 😂. Wales are very very lucky, what a save from Danny ward at the the end, I don't think that was offside.</t>
  </si>
  <si>
    <t>[["offsid", 0.5314082578401236], ["outstand", 0.29331334253708313], ["wow", 0.29331334253708313], ["ampadu", 0.29331334253708313], ["brilliant", 0.29331334253708313], ["class", 0.29331334253708313], ["motm", 0.29331334253708313], ["blinder", 0.2368357094277971], ["robbi", 0.20787832705598994], ["savag", 0.20692829204987687], ["fair", 0.17303630731759242], ["save", 0.17129952777843327]]</t>
  </si>
  <si>
    <t>Danny Ward is outstanding, sign Jim up someone he's too good to be a bench player. Offside but Danny Ward, that’s a worldie of a save. Calling it now Ethan Ampadu to score a last minute goal. If fifa do motm that Danny ward card will be 🔥🔥🔥🔥.</t>
  </si>
  <si>
    <t>Brooks for James</t>
  </si>
  <si>
    <t>[["breel", 0.457067458630475], ["target", 0.44767197022527017], ["gavranov", 0.42080899277890066], ["offsid", 0.39528866025948745], ["shot", 0.3645862592144116], ["baller", 0.2536606963150817], ["embolo", 0.24511002170323495]]</t>
  </si>
  <si>
    <t>@SkyBetHelp. Come on , that Bale shot was on Target ! @TheGoonerTalkTv It makes sense now, Gavranovic doesn’t understand the offside rule. Gavranovic is the best offsides player I've seen since Pippo 💀. Breel Embolo and the goalkeepers have been on form in this game.</t>
  </si>
  <si>
    <t>Gavranovic for Seferovic</t>
  </si>
  <si>
    <t>[["draw", 0.5], ["man", 0.5], ["take", 0.5], ["result", 0.5]]</t>
  </si>
  <si>
    <t>I’ll take the draw #wal EURO 2020. Ward has to be Man of the Match right?. #WAL #SUI. That Man Moore! Wales Score! I'm LIVE. A point for #wales. They will take that EURO 2020. Will take that draw against Switzerland. 😊❤. 👏🏿👏🏿. #WAL. Great result for Wales. Euros 2021 EURO 2020.</t>
  </si>
  <si>
    <t>Gavranovic (cancelled)</t>
  </si>
  <si>
    <t>Ampadu for Ramsey</t>
  </si>
  <si>
    <t>Full-time</t>
  </si>
  <si>
    <t>[["danni", 0.7726080927829279], ["ward", 0.6348832451453784]]</t>
  </si>
  <si>
    <t>Danny ward😍. Danny ward with another certi save. Is Danny ward still at Leicester? Super Danny Ward #WAL EURO 2020. What a save Danny ward. HUGE save from Danny Ward on Embolo. 👏. Danny Ward lad 👏🏼👏🏼👏🏼👏🏼. Danny ward woaahhh. Danny Ward you’re amazing, mate.</t>
  </si>
  <si>
    <t>[["ye", 0.7071067811865475], ["header", 0.7071067811865475]]</t>
  </si>
  <si>
    <t>That was a great header! #WALSWI EURO 2020. Been waiting for that goal! Yes #Wal. Sublime header by Moore! #wal EURO 2020. Moore with a superrrrb header! 1-1. Bale still sleeping 💤. That was a hell of a header from Wales EURO 2020. What a header from Moore, get innnnn.</t>
  </si>
  <si>
    <t>[["danni", 0.7674294683477189], ["ward", 0.6411333801258031]]</t>
  </si>
  <si>
    <t>Danny Ward has been impressive 👏. What a game Danny Ward is having 🔥. Danny ward has been amazing today EURO 2020 #WAL. What a goalkeeper Danny Ward is for us! 🙌🏻👏🏻. Danny Ward man of the match. EURO 2020. Danny Ward. That's it that's the tweet. Danny ward has been unreal here 🔥.</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</si>
  <si>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</si>
  <si>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[["save", 0.9457367312116985], ["sommer", 0.3249338936414783]]</t>
  </si>
  <si>
    <t>EURO 2020. Wales 0 - 0 Switzerland. What a Save !! Via : @RHQ58. Great save Sommer, love seeing saves like that ! 16' What a Chance and What a save from Sommer! 🏴󠁧󠁢󠁷󠁬󠁳󠁿0-0🇨🇭. Yann Sommer just saved his team Switzerland from getting behind a goal !! Fantastic save !!. EURO 2020.</t>
  </si>
  <si>
    <t>[["seferov", 0.7071067811865475], ["embolo", 0.7071067811865475]]</t>
  </si>
  <si>
    <t>Embolo goes down there and it's a PK. Seferovic ain't a serious striker man. Surely that's a penalty on Embolo?!. EURO 2020. Seferovic is just not a good footballer. Seferovic is the gift that keeps on giving. How is seferovic gonna keep missing these chances.</t>
  </si>
  <si>
    <t>[["save", 0.5], ["embolo", 0.5], ["connor", 0.40272014290979663], ["danni", 0.3863031838934712], ["ward", 0.3174426721689556], ["robert", 0.296338466107107]]</t>
  </si>
  <si>
    <t>It’s a good save but Embolo has shot straight at him. Danny Ward having a “playing against Tottenham” kind of match. Connor Roberts X getting beat to headers in which we concede off. Unreal save from Danny ward and then concede, fuck off man.</t>
  </si>
  <si>
    <t>[["deserv", 0.774421774174149], ["header", 0.4189728829546941], ["breel", 0.4189728829546941], ["lead", 0.22179802159223103]]</t>
  </si>
  <si>
    <t>Can’t say they don’t deserve that. deserved lead for Switzerland 🇨🇭 EURO 2020. #WALSUI 49 mins and it’s 1-0 to the Swiss. Wales have been living dangerously for a while and embolo’s header no more than Switzerland deserve. Breel Embolo looks like he's back to his best today.</t>
  </si>
  <si>
    <t>What is that mbabu. And that’s why you play Mbabu at CB. @afc_ah Mbabu's been so average tho. Mbabu you could done. Mbabu messed that up. @LUFCAtif that Mbabu finish?😂. @mzms11_ Embolo is on fire today. Did all that then Mbabu does that. The fuck was that Mbabu 🤣.</t>
  </si>
  <si>
    <t>[["mbabu", 0.7749883191198554], ["yellow", 0.47399381190506773], ["tackl", 0.41799876973919947]]</t>
  </si>
  <si>
    <t>Great tackle Mbabu. If that is a yellow for Mbabu, football is dead. That’s not a yellow that was a brilliant tackle! Mbabu is impressing me a lot. Mbabu yellow 🥵 also wasn't a bad tackle refs shit. Mbabu yellow card for a perfect slide tackle. Getting weekend league flashbacks.</t>
  </si>
  <si>
    <t>[["kieffer", 0.5979119578130702], ["header", 0.41147863672276536], ["level", 0.41147863672276536], ["equalis", 0.41147863672276536], ["moor", 0.31140149171812814], ["goal", 0.1938721130595875]]</t>
  </si>
  <si>
    <t>Kieffer Moore scores in Baku to bring Wales level at 1 - 1. 74 mins. 1-1! Kieffer Moore equalises for #Wal with a great header. 📉 He was matched at a high of 10.5 to score anytime on the @BetfairExchange and Wales have been matched at 150. Game on.... #WALSUI | Euro 2020.</t>
  </si>
  <si>
    <t>[["beauti", 0.7559289460184544], ["ye", 0.3779644730092272], ["equalis", 0.3779644730092272], ["morrel", 0.2697665967976043], ["assist", 0.26473217807697963]]</t>
  </si>
  <si>
    <t>@haydn_davies Nice little assist for Morrell too😂😜🙊. Yes get in, I want some Moore of that 🤩🏴󠁧󠁢󠁷󠁬󠁳󠁿🏴󠁧󠁢󠁷󠁬󠁳󠁿🏴󠁧󠁢󠁷󠁬󠁳󠁿. EURO 2020 #WALSUI Decent game this, and what a header that was for the equaliser! What a beautiful goal from #Wales !! EURO 2020.</t>
  </si>
  <si>
    <t>[["ben", 0.7599886065534149], ["davi", 0.6499363952795679]]</t>
  </si>
  <si>
    <t>Ben Davies is fucking shite. Can tell ben davies is a tottenham player fuck me. That’s not you Ben Davies. Ben Davies is terrible.</t>
  </si>
  <si>
    <t>[["throw", 1.0]]</t>
  </si>
  <si>
    <t>The Bale long throw is out. Flashback to Austria away. #WAL. BALE CAN THROW LONG THROW-INS BUT WE NEVER DO THAT?!?!!!?!!!!?! WHY. You don't see Bale do long throws for Real Madrid do you? Gareth Bale with a long throw…. I guess he’s still a LB at heart.</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</si>
  <si>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</si>
  <si>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[["offsid", 0.7623681281925683], ["gavranov", 0.6471435985283017]]</t>
  </si>
  <si>
    <t>Why did we just shit ourselves as soon as Gavranovic came on. Mario Gavranovic scores with his first touch! But I think he's offside.. What a buildup to that goal, Gavranovic with the finish. It might be offside though.. EURO 2020. @Zettergol Xhaka in the build up ✅. Offside ✅.</t>
  </si>
  <si>
    <t>[["savag", 0.7098902852771796], ["robbi", 0.7043122765287316]]</t>
  </si>
  <si>
    <t>#WALSUI Robbie Savage really is such an awful co-commentator. Robbie Savage really is a wanker EURO 2020. Robbie Savage has done well for himself #WALSUI EURO 2020. Robbie Savage is worse pundit than he was footballer #WALSUI.</t>
  </si>
  <si>
    <t>[["save", 0.7071067811865475], ["danni", 0.5330649039100116], ["ward", 0.4645877831146768]]</t>
  </si>
  <si>
    <t>Offside but Danny Ward, that’s a worldie of a save. What a save and top notch performance by Danny Ward today. Danny Ward with the greatest save in the history of life. Danny Ward has made some terrific saves today, but that was best of the lot. Amazing reach. #WAL.</t>
  </si>
  <si>
    <t>[["class", 0.7071067811865475], ["gavranov", 0.5129484696983211], ["offsid", 0.4867071680529788]]</t>
  </si>
  <si>
    <t>Ward is class 🙌 #wal. All Gavranovic has done since he came on was stand offside.. 💀 #SUI EURO 2020. Gavranovic the offside king. 3 separate touches from Gavranovic. 3 separate offside calls. #WALSUI Gavranovic would be a class player if there was no offside rule in football.</t>
  </si>
  <si>
    <t>[["sommer", 0.6122959878524624], ["close", 0.5209462037999566], ["yann", 0.4406995443016124], ["save", 0.39936523090842885]]</t>
  </si>
  <si>
    <t>@ayoungleg Remember when you said Yann Sommer stinks essentially ?. Both Yann and I do 📝. What a save that is from Sommer!!. Should of been 1-0 Wales. Yann Sommer with one of the saves of the tournament... It's only the second game of the Euros!.</t>
  </si>
  <si>
    <t>[["unlucki", 0.7071067811865475], ["momma", 0.7071067811865475]]</t>
  </si>
  <si>
    <t>@KRFMoore Unlucky EURO 2020. That’s a fuckimg great save, unlucky kieffer moore nothing more he could have done. Fuck me what a save from Sommer, or “momma” as Steve on comms said. What a save Yann Momma #WALSUI. @markgoldbridge Anyone hear the commentator call sommer yan momma.</t>
  </si>
  <si>
    <t>[["run", 0.6968137363862119], ["jame", 0.4506462999626208], ["dan", 0.43051297369338226], ["magnific", 0.3550029698399263]]</t>
  </si>
  <si>
    <t>Daniel James with the run. That was a great run from Dan James. EURO 2020. What a magnificent run that by Dan James.. euro 2020. Dan James 😎⚡️ EURO 2020.</t>
  </si>
  <si>
    <t>[["ben", 0.7563214958438056], ["davi", 0.654200118407654]]</t>
  </si>
  <si>
    <t>[["pen", 0.7559289460184544], ["shouldv", 0.3779644730092272], ["worst", 0.3779644730092272], ["penalti", 0.3779644730092272]]</t>
  </si>
  <si>
    <t>Seferovic is quite literally the worst player I’ve ever seen in my life. Embolo shouldve gotten a retrospective penalty there after seferovic missed. Sefferovich is a cow. Embolo should've dived that's a pen. How come that's not a pen for shirt pulling on Embolo?</t>
  </si>
  <si>
    <t>[["gone", 1.0]]</t>
  </si>
  <si>
    <t>Embolo should have gone down. Embolo should have gone down. Stupid move on his part. Embolo too honest there. lot of people have gone down for a lot less. EURO 2020. Wales got lucky there. Embolo did well there. Should have gone down because he could have even got a penalty.</t>
  </si>
  <si>
    <t>[["yellow", 0.37796447300922725], ["embolo", 0.37796447300922725], ["save", 0.37796447300922725], ["fuck", 0.37796447300922725], ["breel", 0.37796447300922725], ["corner", 0.37796447300922725], ["danni", 0.30740381023964375], ["ward", 0.2199091637637959]]</t>
  </si>
  <si>
    <t>Oh fuck off embolo they deserve it we’ve been fucking shit. Switzerland have been doing well from corners all game from those Shaqiri deliveries, now scored from one. Wish we'd thought of that around the 90th corner we failed to score from last season.</t>
  </si>
  <si>
    <t>[["deserv", 0.8944271909999159], ["connor", 0.36886407072703153], ["robert", 0.25286221015937416]]</t>
  </si>
  <si>
    <t>And connor Roberts that marking was shambolic fuck off its deserved but so annoying. Connor Roberts X getting beat to headers in which we concede off. Can’t say they don’t deserve that. deserved lead for Switzerland 🇨🇭 EURO 2020.</t>
  </si>
  <si>
    <t>[["mbabu", 0.5], ["power", 0.5], ["assist", 0.41293845262234924], ["half", 0.36260948253060066], ["second", 0.34425915119120654], ["shaqiri", 0.2819252282890976]]</t>
  </si>
  <si>
    <t>Shaqiri with a great assist to put Switzerland 1-0 up... Mbabu has been watching my finishing by the looks of it. @MbabuFUT this is the mbabu that ruins my day on fifa ? Embolo has started the second half really well. Wales struggling to deal with his power.</t>
  </si>
  <si>
    <t>[["mode", 0.7014440382192446], ["career", 0.5184491452934767], ["fifa", 0.48906721929724806]]</t>
  </si>
  <si>
    <t>Embolo used to be the fifa career mode guyyy! What happened to him cah he still looks decent. The fact that I got Embolo on career mode😭. I bought Embolo on FIFA 16 for my Real Madrid career mode. Knew he’s gonna be good. Fifa 16 career mode players watching Embolo like.</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</si>
  <si>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</si>
  <si>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[["goal", 1.0]]</t>
  </si>
  <si>
    <t>GOOOOAAAAL 😂. Wales 0-1 Switzerland🤟. Game On💫. Embolo has been quite great and deserves this goal💥. Goal!!!!! 🇨🇭👏 Wales Switzerland EURO 2020. EURO 2020. FULL GOAL EMBOLO 🔥🔥🎥🎥.. Guess I’m keeping Embolo in my fantasy team, thanks for the goal ⚽️ EURO 2020.</t>
  </si>
  <si>
    <t>[["dan", 0.7288915004825384], ["jame", 0.6846292285057028]]</t>
  </si>
  <si>
    <t>Gareth Bale.. where are you? Dan James is out here doing more. Its just dan james and hope!!!! EURO 2020. Dan James is playing better than Bale in this game. Go James Go Bale Go Wales!!!</t>
  </si>
  <si>
    <t>[["mbabu", 0.6584960046972779], ["yellow", 0.4158789576000621], ["wilson", 0.4099879426220846], ["tackl", 0.36291872214113174], ["harri", 0.30598626186018013]]</t>
  </si>
  <si>
    <t>How is that a Yellow for Mbabu, that was a perfect tackle!!! Can’t tackle in football anymore. Mbabu penalised and booked for a perfectly good tackle. Daniel James has to be the biggest fuckin cry baby!! How the fuck was that a yellow card?? Mbabu got the ball cleanly!!</t>
  </si>
  <si>
    <t>[["zakaria", 1.0]]</t>
  </si>
  <si>
    <t>Zakaria is a beast! Zakaria watch now 👀. Zakaria coming on???. Get Zakaria on, so we can close up the game. As if Zakaria was on the bench for Switzerland. He is class! Finally Zakaria🔥🔥. Zakaria coming on. Zakaria is not a good player and Zakaria got Shaqiri is not a good change.</t>
  </si>
  <si>
    <t>[["fuck", 0.2773500981126146], ["header", 0.2773500981126146], ["ye", 0.2773500981126146], ["beauti", 0.2773500981126146], ["equal", 0.2773500981126146], ["that", 0.2773500981126146], ["nice", 0.2773500981126146], ["keiffer", 0.2773500981126146], ["kiefer", 0.2773500981126146], ["score", 0.23302576992859042], ["piec", 0.22838233495207372], ["short", 0.20306831766528846], ["kieffer", 0.19729201669951754], ["big", 0.19493316051845622], ["corner", 0.18890827214197475], ["set", 0.15736767776425928], ["wal", 0.1504063411969873]]</t>
  </si>
  <si>
    <t>1-1. Wales level. Moore heads home from a short taken corner. Great header from moore there! catching switzerland out on a set piece. Kieffer Moore scored with a nice header into the goal. Now it's even for both. A beautiful goal, but careful with Kieffer Moore's beautiful head.</t>
  </si>
  <si>
    <t>[["piss", 0.37796447300922725], ["fuck", 0.37796447300922725], ["equalis", 0.37796447300922725], ["headband", 0.37796447300922725], ["assist", 0.3055763533054861], ["dan", 0.27717550793028084], ["david", 0.26939490136305666], ["brook", 0.2651104109172853], ["morrel", 0.22244153199810413], ["jame", 0.2044268035423055], ["take", 0.15569381058413767]]</t>
  </si>
  <si>
    <t>Dan James has been brilliant today. He’s right to be pissed. #WAL. Moore was so inept before the goal and then boom he equalised. I recently got a promotion and wore a headband for my interview, power of the headband #WALSUI EURO 2020.</t>
  </si>
  <si>
    <t>[["ben", 0.5352587295703591], ["davi", 0.4620584711941986], ["sub", 0.353553412377962], ["embolo", 0.353553412377962], ["zakaria", 0.353553412377962], ["beauti", 0.353553412377962]]</t>
  </si>
  <si>
    <t>Dan James best Wales player on the pitch today, gets subbed off? #WALSUI. Ben Davies’ last two crosses have been shockingly bad. 🙈#WALSWI. Poor old Ben Davies should never cross the half way line. Ben Davies is still doing what Ben Davies does 😬.</t>
  </si>
  <si>
    <t>[["throw", 0.7071067811865475], ["miss", 0.6164947666969803], ["ramsey", 0.34631517817623253]]</t>
  </si>
  <si>
    <t>BALE CAN THROW LONG THROW-INS BUT WE NEVER DO THAT?!?!!!?!!!!?! WHY. Gila throw in Bale. EURO 2020. #WALSWI. Gareth bale hitting the penalty spot with his long throws, gotta love it. Did they just long throw to Joe Allen. Aaron Ramsey good looking. What a miss from Ramsey.</t>
  </si>
  <si>
    <t>[["savag", 0.4798620169775495], ["robbi", 0.46064006659462825], ["gavranov", 0.36064599392671176], ["offsid", 0.36064599392671176], ["fuck", 0.36064599392671176], ["var", 0.36064599392671176], ["commentari", 0.19308299243690874]]</t>
  </si>
  <si>
    <t>I hate Robbie savage on commentary so much #wal #sui. Substitute Mario Gavranovic puts the ball in the net for #SUI after coming on for less than a minute, but it’s being checked for offside. VAR confirms it’s offside. #WAL got away there.</t>
  </si>
  <si>
    <t>[["embolo", 1.0]]</t>
  </si>
  <si>
    <t>Embolo doing what he does best😂😂 #WALSUI. @Yerdas_out embolo 2 G/A in my books. 🏴󠁧󠁢󠁷󠁬󠁳󠁿🆚🇨🇭 THE winning goal? ⚽️ Embolo. EURO 2020. @EURO2020 @GazpromFootball Wales 1-1 Switzerland. Embolo. Moore. 𝗚𝗢𝗔𝗟!! #WAL 0-1 #SUI. ⚽️ Embolo opens the scoring! 📲 Listen now ☞.</t>
  </si>
  <si>
    <t>[["danni", 0.7684126109675288], ["ward", 0.6399547322319489]]</t>
  </si>
  <si>
    <t>Danny Ward might be good enough to be our number 2... Danny Ward kicking the arse out of this love it. Danny Ward is the greatest goalkeeper in the world 🏴󠁧󠁢󠁷󠁬󠁳󠁿🏴󠁧󠁢󠁷󠁬󠁳󠁿🏴󠁧󠁢󠁷󠁬󠁳󠁿. Danny ward has been exceptional today. but Switzerland should be winning.</t>
  </si>
  <si>
    <t>[["ampadu", 0.6793734510163257], ["save", 0.444779380506914], ["gavranov", 0.444779380506914], ["ethan", 0.37788135625608654]]</t>
  </si>
  <si>
    <t>Have been some unbelievable saves from goalies this tournament EURO 2020. This Gavranovic has three touches ob the ball, all offside. Calling it now Ethan Ampadu to score a last minute goal. Danny Ward absolutely saving Wales' ass. Not over yet tho.</t>
  </si>
  <si>
    <t>[["motm", 1.0]]</t>
  </si>
  <si>
    <t>Embolo is a baller. My MOTM. Embolo ou Ward MOTM? Ward or Mbabu for MOTM. Ward for MOTM, he has been sensational #WALSUI. Danny Ward MOTM. #wal. Easily the MOTM = @dan_ward52 #WAL V #SUI. Danny ward is my motm. @callum_edmunds1 Joe morrell motm lad. Motm in my book.</t>
  </si>
  <si>
    <t>[["ill", 0.8005877889811023], ["take", 0.5992154805529896]]</t>
  </si>
  <si>
    <t>I’ll take the draw #wal EURO 2020. I’ll take a point after that #WAL. 🏴󠁧󠁢󠁷󠁬󠁳󠁿🏴󠁧󠁢󠁷󠁬󠁳󠁿🏴󠁧󠁢󠁷󠁬󠁳󠁿🏴󠁧󠁢󠁷󠁬󠁳󠁿🏴󠁧󠁢󠁷󠁬󠁳󠁿🏴󠁧󠁢󠁷󠁬󠁳󠁿🏴󠁧󠁢󠁷󠁬󠁳󠁿🏴󠁧󠁢󠁷󠁬󠁳󠁿🏴󠁧󠁢󠁷󠁬󠁳󠁿🏴󠁧󠁢󠁷󠁬󠁳󠁿🏴󠁧󠁢󠁷󠁬󠁳󠁿 I’ll take that! @EURO2020 #wal #walesvsswitzerland Still in it..</t>
  </si>
  <si>
    <t>[["2nd", 0.5716824803612752], ["matchday", 0.5716824803612752], ["brace", 0.41991374532024606], ["win", 0.41234782621845323]]</t>
  </si>
  <si>
    <t>Bale to score a brace today. No chance Wales are winning this, especially with Ben Davies centre half 🤮. EURO 2020 what do you think who will win? Time for the 2nd game of EURO 2020. ⚽️ Here we go! ℹ️ Group A, matchday. 🏴󠁧󠁢󠁷󠁬󠁳󠁿🆚🇨🇭 Who's winning this? EURO 2020.</t>
  </si>
  <si>
    <t>[["save", 0.4182976962011314], ["oof", 0.4182976962011314], ["yann", 0.4182976962011314], ["sommer", 0.35977290180277927], ["moor", 0.3530192626765605], ["inch", 0.35262175403478213], ["cross", 0.31093386748248725]]</t>
  </si>
  <si>
    <t>What a cross from James and what a save from Sommer. #WALSUI. Yann Sommer showing his class there. Saved a definite goal. I predict. wales 1-1 switzerland. embolo and moore to score. Oof. What a save from Yann Sommer. Inches away from a first Wales goal.</t>
  </si>
  <si>
    <t>[["puma", 0.7063520190102347], ["great", 0.5044644806045103], ["tournament", 0.49657065262516936]]</t>
  </si>
  <si>
    <t>Lovely flick by Schar…almost a great goal. EURO 2020. Schar nearly scored a great goal there EURO 2020 #NUFC. Goal of the tournament if that had gone in #WALSUI. That would of been the goal of the tournament on Day 2 of Euros #SUI. It begins PUMA Football euro 2020 🐈‍⬛ 🏴󠁧󠁢󠁥󠁮󠁧󠁿.</t>
  </si>
  <si>
    <t>[["touch", 0.7545774354899277], ["ben", 0.5538536439056552], ["davi", 0.25336579714391444], ["take", 0.24426380783796173]]</t>
  </si>
  <si>
    <t>Ben Davies giving the ball away....🙄 #wal. Ben Davies having a nightmare so far, nice to see him taking his Tottenham form into the euros. Switzerland and Wales both take the knee.. EURO 2020. Has Bale had a touch? Has Ramsey even touched the ball.</t>
  </si>
  <si>
    <t>[["xhaka", 1.0]]</t>
  </si>
  <si>
    <t>Xhaka score that. Xhaka gonna score a golazo in this game. Granit Xhaka is always shooting without scoring. Fraud. Xhaka is scoring a screamer today i can feel it. Xhaka’s going to score a banger at some point #SUI. Granit Xhaka is in mood for a long range goal. EURO 2020.</t>
  </si>
  <si>
    <t>[["bore", 0.5454294980667117], ["gonna", 0.44924817880136897], ["take", 0.44107061272205456], ["pitch", 0.3994516768228744], ["get", 0.3828548144646133]]</t>
  </si>
  <si>
    <t>Joe Rodon the best player on the pitch so far. Aaron Ramsey's workrate is outstanding. Any chance to sign him, we should take it. Go 5 back and take Morrell of for Cabango. Seferovic will score if Wales don't get serious. ARE WE GONNA GET GOALS. THIS IS BORING #WALSUI.</t>
  </si>
  <si>
    <t>[["free", 0.537723299667162], ["card", 0.44151013556368335], ["foul", 0.2794957903018704], ["jame", 0.25599597801797036], ["yellow", 0.2538237202477526], ["xhaka", 0.25340876051020317], ["daniel", 0.25080048011297146], ["pass", 0.23016859749597862], ["kick", 0.22075440440476016], ["bale", 0.1996036023476974], ["win", 0.1979281827724017]]</t>
  </si>
  <si>
    <t>Daniel James for Wales is not the player for united he's so much better. Great run from Daniel James there, gives his defenders a rest and wins a free kick in a great position for Wales. Why is Bale taking this free kick from Dan stop it.</t>
  </si>
  <si>
    <t>[["cross", 0.9132527399418165], ["bale", 0.4073934621330647]]</t>
  </si>
  <si>
    <t>No players trying to attack that cross from Bale? DCL would’ve been all over that cross by Bale. Mepham has to get a head on that Bale cross #WALSUI. Bale crosses the ball sooo deliciously 🤤. They just watch that Bale nice cross like it was a shooting star.</t>
  </si>
  <si>
    <t>[["seferov", 0.6391068458873372], ["entertain", 0.4447141959493902], ["decent", 0.2719154048127781], ["never", 0.2719154048127781], ["aw", 0.2719154048127781], ["halftim", 0.26859708925246234], ["hari", 0.2416500610350735], ["walsui", 0.20351563326778058]]</t>
  </si>
  <si>
    <t>Final preparations ahead of #WALSUI ✅ EURO 2020. If Wales want to win this they should bring Bale on at halftime 😉. Switzerland have never been involved in an entertaining football match. EURO 2020 #WALSUI. Xhaka is a decent footballer you know. Seferovic is a g league player.</t>
  </si>
  <si>
    <t>[["second", 0.9016072220824606], ["atleast", 0.43255568091142765]]</t>
  </si>
  <si>
    <t>#SUI should be leading atleast by a goal already. 42 minutes, 7 corners already? Ah! Please reserve some for Second half #WALSUI EURO 2020. ⏱️Turkey vs Italy in 60 Seconds⏱️. Euro 2020.</t>
  </si>
  <si>
    <t>The Guardian, BeSoccer, LiveScore, BBC</t>
  </si>
  <si>
    <t>[["penalti", 0.7577229493575779], ["seferov", 0.3492691149818381], ["second", 0.32394717261525136], ["turkey", 0.3218736571108827], ["embolo", 0.30874357572151606]]</t>
  </si>
  <si>
    <t>How many goals did they say seferovic scored this season? That has to be a penalty, just because he didn’t go down it’s not given #WALSUI. If he had gone down it could have been clear penalty.. EURO 2020. No idea how that isn't a penalty on Embolo there.</t>
  </si>
  <si>
    <t>[["embolo", 0.6361928371411251], ["penalti", 0.4471222417304314], ["pen", 0.3971923300979564], ["seferov", 0.34522287553395237], ["pass", 0.3182797636585378], ["worst", 0.13075850291728774]]</t>
  </si>
  <si>
    <t>Seferovic is awful. One of the worst strikers I have ever seen. Seferovic is taking the piss lmfao how the fuck do you miss. Embolo shouldve tried to shoot there, no clue why he looked for the pass. Respect to Embolo for not going down for a pen, most players would.</t>
  </si>
  <si>
    <t>[["half", 0.495960710822837], ["touch", 0.4012093570554373], ["walsui", 0.37308558923500756], ["dull", 0.25036911366191433], ["far", 0.2460751419767725], ["anoth", 0.23618175200659056], ["goat", 0.21052909183818577], ["varieti", 0.20534157225891642], ["time", 0.19809390500384758], ["ifyama", 0.19449899232198048], ["noti", 0.19449899232198048], ["halv", 0.19211613136629888], ["por", 0.19116615995897132]]</t>
  </si>
  <si>
    <t>Gareth Bale and Dan James combined for 25 touches during the first half. #WAL EURO 2020. Once again another dull game of football so far EURO 2020 Euros 2021. As halves of football go, that was of the less interesting variety EURO 2020.</t>
  </si>
  <si>
    <t>[["need", 0.5150669810576398], ["badli", 0.5118228902073333], ["pass", 0.4965762148732472], ["goe", 0.47555798479905637]]</t>
  </si>
  <si>
    <t>Fabian didn't believe in that last pass.#WALSUI. If embolo goes down thats a penalty. Need to get foothold in this game and Ramsey and Bale on the ball. Or it will end badly 🏴󠁧󠁢󠁷󠁬󠁳󠁿. Come on Wales 🏴󠁧󠁢󠁷󠁬󠁳󠁿 we need a BIG second half 🙏🏼 #WAL.</t>
  </si>
  <si>
    <t>[["yellow", 0.6287170780748073], ["embolo", 0.4494676356841081], ["ff", 0.40348760242786047], ["goal", 0.34379821503795993], ["save", 0.22473381386309543], ["ref", 0.2110279381611362], ["moor", 0.1632670954459327]]</t>
  </si>
  <si>
    <t>If that’s a yellow for Moore, there are going to be 12 bookings a game during this tournament #bbcfootball. What a turn from embolo and what a save from ward. Embolo been absolutely class. Goal now to top it off. Shaqiri is a really good buy ffs i wish i chose him.</t>
  </si>
  <si>
    <t>[["embolo", 0.9453327575141379], ["lead", 0.17463160033728822], ["final", 0.16251606600296703], ["defend", 0.15408276102685314], ["corner", 0.09790716677117861], ["class", 0.09243376213001593], ["gol", 0.08698849977408996]]</t>
  </si>
  <si>
    <t>Embolo balling twice in a minute you live to see it. Embolo has started the 2nd half like a man on a mission. Deserved for Embolo after that fantastic play to win the corner. Wales have been so poor , brilliant touch ,turn of pace and strike from embolo.</t>
  </si>
  <si>
    <t>[["shot", 0.7598989403954794], ["pass", 0.6500412297584112]]</t>
  </si>
  <si>
    <t>Embolo’s the only one on this team that can make his own shot. Cross or shot 🧐 #WALSUI. Bale shot on target please. Akanji’s passing has been excellent today. He’s broken the lines on quite a few occasions. I'd take off Moore. Wales need to be passing through, Ramsay,Bale,etc.</t>
  </si>
  <si>
    <t>[["manag", 0.765070925791004], ["mbabu", 0.4713974908880096], ["legend", 0.43869224302896537]]</t>
  </si>
  <si>
    <t>MBABU IS WEARING ANKLE SOCKS IN A FOOTBALL GAME???? If literally every wales fan can see ampadu morrell and cabango mepham why can’t the actual football manager see it. Embolo the Football Manager legend... Who else knew Mbabu from Football manager??😂.</t>
  </si>
  <si>
    <t>[["fuck", 0.4672659451344876], ["jame", 0.41814844066108886], ["take", 0.41510910804075263], ["mepham", 0.24778505899293804], ["pitch", 0.23987539167998667], ["leagu", 0.2358845312214392], ["isnt", 0.2300400004136704], ["shakira", 0.22766751359282084], ["play", 0.21588829007751478], ["battl", 0.20893259868563824], ["rob", 0.18169918766764026], ["pass", 0.17858784260833468]]</t>
  </si>
  <si>
    <t>I'd rather watch Shakira play football than Shaqiri Euros 2021. #wal are fucking shit even though most of their players are in the Premier League and championship. Loool bale only wants to pass to James. He knows. Why is Daniel James taking a corner for your team ffs.</t>
  </si>
  <si>
    <t>[["suppos", 0.32475023705939415], ["win", 0.31360865452089215], ["man", 0.3119421667029954], ["dull", 0.2935366478696535], ["championship", 0.2883910218967025], ["rather", 0.2877784559166297], ["8pm", 0.27785010971027824], ["third", 0.27616341859297033], ["5pm", 0.2735138596934527], ["abil", 0.27268572472974123], ["jame", 0.27249307717460364], ["least", 0.2642776283954409]]</t>
  </si>
  <si>
    <t>James is the only man on the pitch for Wales who likes like he wants to get in that final third. #WAL. Daniel James is winning the mbabu battle. Who's winning this one? EURO 2020. What am I supposed to do between 4-5pm, and 7-8pm each day? 🥺 EURO 2020 #football.</t>
  </si>
  <si>
    <t>[["mbabu", 0.618786932279749], ["yellow", 0.5976744384127538], ["tackl", 0.3661963924703614], ["book", 0.2517810340451321], ["daniel", 0.16660126077209525], ["incred", 0.08804911298935612], ["ramsey", 0.08501951510536412], ["nice", 0.08194117130443222], ["emobolo", 0.08190632258505036], ["under", 0.07895926527463205]]</t>
  </si>
  <si>
    <t>Mbabu booked for tackling and winning the ball. Game's gone. If that’s a yellow card on Mbabu then what are we doing here? Mbabu yellow 🥵 also wasn't a bad tackle refs shit. What a tackle from mbabu, how on earth is that a yellow? Dan james bodied as per.</t>
  </si>
  <si>
    <t>[["ramsey", 0.6685991277378476], ["mbabu", 0.5594379263649552], ["2nd", 0.3879286164957951], ["free", 0.2991919140557222]]</t>
  </si>
  <si>
    <t>Mbabu will be close to a 2nd. Ramsey should've score there. That’s 2 brilliant free kicks from Wales (Bale/Ramsey) and not one player gambling on getting the final touch on it. Ramsey licks the air in disappointment after that free kick #WALSUI EURO 2020.</t>
  </si>
  <si>
    <t>[["zakaria", 0.7475184579155607], ["embolo", 0.5390716732553215], ["premier", 0.22823044344916715], ["leagu", 0.18686054037824612], ["book", 0.1836029337879861], ["sub", 0.17292151978929846]]</t>
  </si>
  <si>
    <t>#wal deserve to be further behind her. Procrastinating on the subs is going to cost them. I signed Embolo for Crystal Palace Back in fifa 17.. If embolo went palace, they can charge for europa league. Zakaria is not a good player and Zakaria got Shaqiri is not a good change.</t>
  </si>
  <si>
    <t>[["littl", 0.6367522197811774], ["star", 0.5576216603605026], ["bring", 0.5325454858512457]]</t>
  </si>
  <si>
    <t>Stars of day one: ▪️#ITA. ▪️The little car that brings the match ball out. EURO 2020.</t>
  </si>
  <si>
    <t>[["take", 0.7427534408431572], ["worst", 0.6695650275482214]]</t>
  </si>
  <si>
    <t>How this Keifer Moore guy take get call up sef? Players don finish for Wales??? I'd take Bale off. Penaldo taking notes on this Seferovic disasterclass and learning new ways to fraud and get carried.. And again worst player on the pitch Kieffer Moore. Wales 🏴󠁧󠁢󠁷󠁬󠁳󠁿.</t>
  </si>
  <si>
    <t>[["moor", 0.7326285868126206], ["stole", 0.22904709658253525], ["gol", 0.21878070934254829], ["play", 0.21845109645440433], ["manag", 0.2165765746719096], ["score", 0.2022513171038196], ["everywher", 0.19207967294371792], ["hobbi", 0.1911932971126453], ["win", 0.18634528931831443], ["remark", 0.17539690672630234], ["would", 0.17464866254534245], ["bale", 0.1728851962422452], ["leagu", 0.1675300787166239]]</t>
  </si>
  <si>
    <t>RIP the Bale that we saw in the Champions League final against Liverpool who came and stole the show from Ronaldo. 3 things are guaranteed in life: Death. Wales playing horribly. Kieffer Moore scoring. What a header. Didnt think we'd looked like scoring. Get in Moore!! Cmon Cymru.</t>
  </si>
  <si>
    <t>[["moor", 0.7701206296326102], ["header", 0.4943235446345141], ["kieffer", 0.18195677500123247], ["defend", 0.11967537572083765], ["cross", 0.11967537572083765], ["corner", 0.11197589958168148], ["class", 0.11107793250478773], ["keifer", 0.10882938325411784], ["beauti", 0.10713863768396159], ["final", 0.10351002425203806], ["inde", 0.09709625324585804], ["win", 0.09637341776811253], ["head", 0.08877097888051368], ["slow", 0.08859497857927344], ["take", 0.08629691969252729]]</t>
  </si>
  <si>
    <t>Moore is a class striker, would love Watford to sign him. Great header from Moore, poor defending again from a corner to make it 1-1. Switzerland will be kicking themselves now. 1-1 what a header from Moore, low-key want Wales to win this.</t>
  </si>
  <si>
    <t>[["get", 0.7141400560674526], ["jame", 0.7000028430799234]]</t>
  </si>
  <si>
    <t>1-1 - playing with a belief you can win !! #Wal get in !!! Daniel James dey start. Why wales dem no get players anaa. Unless by the luck of the football gods Brooks scores the winner that’s a strange fucking decision to take James off.</t>
  </si>
  <si>
    <t>[["equalis", 0.6414877565361007], ["zakaria", 0.5840122122534489], ["ff", 0.34683390433090344], ["favour", 0.19306356513718567], ["ben", 0.17776679632194312], ["net", 0.17300955565340362], ["embolo", 0.16829306745751346]]</t>
  </si>
  <si>
    <t>Embolo has been class but not scoring that is criminal. What a cross. Zakaria is so good ffs Manchester United are you watching. Now, we can we do everyone a favour and win this match pls 🥺 #wal. 📸 Kieffer Moore nets the equaliser in Baku ⚽️. EURO 2020.</t>
  </si>
  <si>
    <t>[["ben", 0.6588765530131215], ["davi", 0.596933919541966], ["ref", 0.3718371601008876], ["need", 0.26699945684948473]]</t>
  </si>
  <si>
    <t>Wales only need one Moore goal. Ben Davies is a horrific footballer. Ben Davies is a shocking footballer. Ben Davies needs to stop kicking the ball. Who is mepham ? Shouting ref as he’s playing 😂😂 great big pansy. Get Ben Davies off the pitch for someone who can actually cross.</t>
  </si>
  <si>
    <t>[["final", 0.5924202785735466], ["pleas", 0.5112050800739086], ["throw", 0.5107472341150182], ["brook", 0.27567860951449613], ["ramsey", 0.22549090168226932]]</t>
  </si>
  <si>
    <t>Can Wales please score one Moore to win the match. Gareth Bale taking a long throw is so weird. Brooks has a sick final ball. Wales are finally really trying to go for this win EURO 2020. Wales have finally woken up. EURO 2020. Wow, should’ve been two if Ramsey gets to that ball.</t>
  </si>
  <si>
    <t>[["half", 0.842537134135709], ["2017", 0.27131708107103447], ["non", 0.24477247489523762], ["goalscor", 0.23535562599213494], ["winner", 0.23305815379336947], ["ramsey", 0.21655549154758644]]</t>
  </si>
  <si>
    <t>If Ramsey scores the winner I might ejaculate. From non-league in 2017, to a goalscorer at the EUROs... Kieffer Moore, what a story 👏. EURO 2020 #WAL. Bale’s not even half the player from 2016. The first half of this match vs The second half of this match 🤣🤣 #WALSWI EURO 2020.</t>
  </si>
  <si>
    <t>[["offsid", 0.74076043017902], ["var", 0.5110247577686732], ["touch", 0.25089522072443526], ["gavranov", 0.21554764140669913], ["exist", 0.20228066047296941], ["embolo", 0.19950192713035925]]</t>
  </si>
  <si>
    <t>Bale touched his bun more times than he touched the ball...🤦🏾‍♂️. What a decent match this has turned out to be.. Even if that goal was offside. 😂😂 EURO 2020. #SUI back ahead through Gavranovic but looks offside. VAR will surely cancel.</t>
  </si>
  <si>
    <t>[["var", 0.8076619522936751], ["offsid", 0.38714508304261347], ["intern", 0.24436072417063798], ["tournament", 0.20078347411531913], ["net", 0.19499830753840977], ["second", 0.1732828780398545], ["pea", 0.1724047352408356]]</t>
  </si>
  <si>
    <t>How did that take more than 1 second for VAR and how did the linesman miss it. EURO 2020. So we love VAR now, how long before it is the ruination of football again? EURO 2020. VAR got that call was just a touch offside on that one...</t>
  </si>
  <si>
    <t>[["embolo", 0.48185079556949223], ["play", 0.4465421582383987], ["zakaria", 0.2622492588762031], ["cdm", 0.2622492588762031], ["distribut", 0.2622492588762031], ["corner", 0.2622492588762031], ["equalis", 0.2619617724089071], ["moor", 0.22928031938013965], ["leagu", 0.21764214794745065], ["react", 0.20950343002277005], ["save", 0.20340868651110774], ["breel", 0.1987281963865077]]</t>
  </si>
  <si>
    <t>Breel Embolo has been the best player on the pitch all match. Lol that ball was way too heavy from Embolo, could’ve put Zakaria through on goal. There was no need for Brooks to give a corner away there. Surely Danny Ward is too good not to be playing any games of club football.</t>
  </si>
  <si>
    <t>[["danni", 0.6524178958375884], ["ward", 0.46897502906344857], ["bow", 0.2536668526526159], ["club", 0.22883118957555731], ["final", 0.22155839529966628], ["deserv", 0.2166852506721049], ["savag", 0.21027599517822945], ["commit", 0.1297546578375634], ["2017", 0.12053727783548203], ["foul", 0.11389037162351473], ["how", 0.1047300776247853], ["non", 0.10470193588770045], ["goalscor", 0.10456078315589108], ["header", 0.1032370734173761], ["save", 0.09791758139779841]]</t>
  </si>
  <si>
    <t>Celtic Football Club im not saying sign danny ward but... Two excellent saves from Ward in the final minutes to keep a point for #WAL The offside flag was up for the second one, but still. Danny Ward having the game of his life here. What a player.</t>
  </si>
  <si>
    <t>[["danni", 0.4049389907978658], ["ward", 0.4041185005162388], ["offsid", 0.38567414558883867], ["gavranov", 0.37844327659327776], ["rule", 0.3684569584030672], ["wife", 0.3526928843330041], ["scream", 0.17559927902771183], ["swiss", 0.17439335298640463], ["switzerland", 0.17333830089751073], ["take", 0.17117732129015592]]</t>
  </si>
  <si>
    <t>Danny Ward fucking hell he needs to leave Leicester. Danny ward has been exceptional today. but Switzerland should be winning. #WALSUI Gavranovic would be a class player if there was no offside rule in football. The 25% of Swiss in me is screaming for a winning goal #SUI.</t>
  </si>
  <si>
    <t>[["2017", 0.6398425131347043], ["game", 0.3594243130898323], ["produc", 0.34814641703083726], ["masterclass", 0.29054938511713196], ["ethan", 0.20126051193932043], ["21st", 0.17097221818150515], ["ecstasi", 0.16231823818212818], ["given", 0.1596373484935279], ["pass", 0.1577210677564956], ["ward", 0.15652134512188856], ["pint", 0.14914642269263884], ["go", 0.14913325427151358], ["leagu", 0.14267047230621446], ["draw", 0.14144662891961404]]</t>
  </si>
  <si>
    <t>Oh baby it's you. Ethan Ampadu. That makes me love you. Now I'm living in ecstasy. 90 minutes of Gareth Bale going missing in a key game of football. Danny Ward hasn't played a league game since 2017. He's produced a masterclass for Wales at Euro 2020! 🏴󠁧󠁢󠁷󠁬󠁳󠁿.</t>
  </si>
  <si>
    <t>[["vanarama", 0.9181783010244376], ["final", 0.39616739836573756]]</t>
  </si>
  <si>
    <t>Danny ward has been no.1 for a long time, glad roberto page finally stuck to his guns. what a display. Kieffer Moore was playing in the Vanarama National League during the last Euros…. Final. #WAL 1-1 #SUI. Final preparations ahead of #WALSUI ✅ EURO 2020.</t>
  </si>
  <si>
    <t>[["union", 0.5773502691896257], ["time", 0.5773502691896257], ["matchday", 0.5773502691896257]]</t>
  </si>
  <si>
    <t>I think Welsh Rugby Union 🏉 need to tell their football equivalents how to sing the National anthem EURO 2020. Time for some more EURO 2020 football 😊🤗. ⚽️ Here we go! ℹ️ Group A, matchday 1. 🏴󠁧󠁢󠁷󠁬󠁳󠁿🆚🇨🇭 Who's winning this? EURO 2020.</t>
  </si>
  <si>
    <t>[["pass", 1.0]]</t>
  </si>
  <si>
    <t>Daniel James stopped that pass from being played. Very well done man. Great recovery run by Dan James to block the pass to Mbabu. Phenomenal work rate from the Man United man. What a boring game! Missed passes useless extra touches, slow backwards play, silly mistakes 🤮 #WALSUI.</t>
  </si>
  <si>
    <t>[["seferov", 0.7980016778251795], ["embolo", 0.50473276543501], ["score", 0.2348746659590226], ["var", 0.23080738501001893]]</t>
  </si>
  <si>
    <t>Embolo robbed of an assist 😢. Seferovic has been so poor in front of goal. Fantastic hold-up play by Embolo. How has Switzerland not scored EURO 2020. Seferovic first half. Wales should be losing. How is that not to a penalty? VAR not working? #WALSUI.</t>
  </si>
  <si>
    <t>[["embolo", 0.8396291636558764], ["goal", 0.4873175628380268], ["deserv", 0.23988426477812053]]</t>
  </si>
  <si>
    <t>Just got a tattoo of how many goals seferovic will score this tournament. Embolo been absolutely class. Goal now to top it off. Had embolo as first to score 😎. Embolo deserved that goal, that was great. #WALSUI Suisse goal 1-0 Embolo. It was coming...</t>
  </si>
  <si>
    <t>[["embolo", 0.6506432662498147], ["final", 0.3554847570456544], ["step", 0.3129291119533919], ["header", 0.3040769221460341], ["deserv", 0.2989090192278007], ["piss", 0.2988412781326117], ["poor", 0.28505054395766805]]</t>
  </si>
  <si>
    <t>Finally a goal, embolo the tank. Finally 🇨🇭. EURO 2020. Piss poor corner defending by Wales. Open your eyes and attack the ball EURO 2020. 1-0 Switzerland , Embolo , free header and the swiss deserve the lead #WALSUI EURO 2020. Ramsey, Bale and Allen need to step it up too #wal.</t>
  </si>
  <si>
    <t>[["mbabu", 0.3773390332624192], ["cross", 0.36123649690517656], ["still", 0.36073885277774675], ["arent", 0.3529438569223663], ["pass", 0.3471961151180561], ["ff", 0.3453136241840001], ["men", 0.3445903398635985], ["allen", 0.33747950680026345]]</t>
  </si>
  <si>
    <t>MBABU what was that pass FFS EURO 2020. Joe Allen still kicks ball??? KIEFFER MOORE IS 6’5 HOW THE FUCK ARENT YOU GETTING A GOOD CROSS INTO HIM. Dan James brainless twat, pass the ball to Ramsey. Embolo have these men looking like it’s Ball park yes.</t>
  </si>
  <si>
    <t>Breel Embolo becomes the first non tattooed goal scorer of Euro 2020 #SUI EURO 2020 Ramon Vega. Embolo has scored for Switzerland 🇨🇭 🙌🏽🙌🏽🙌🏽🙌🏽🙌🏽🙌🏽🙌🏽. That Embolo is very good. Take away his goal and he has been the best player on the pitch by far.</t>
  </si>
  <si>
    <t>[["mbabu", 0.7077366480459061], ["foul", 0.35386832402295304], ["yellow", 0.35386832402295304], ["tackl", 0.35386832402295304], ["profession", 0.3513409523131401]]</t>
  </si>
  <si>
    <t>Mbabu won the ball cleanly how is that a foul? If that is a yellow for Mbabu, football is dead. How does mbabu get booked fs. Can’t tackle in football anymore. Mbabu penalised and booked for a perfectly good tackle. How is Daniel James a professional footballer?</t>
  </si>
  <si>
    <t>[["moor", 0.6575158613959391], ["72min", 0.23336387621072788], ["half", 0.23336387621072788], ["deserv", 0.23336387621072788], ["jame", 0.23336387621072788], ["header", 0.21977678266031447], ["weird", 0.21968637155085793], ["take", 0.21813164802878826], ["untuck", 0.21279227327630115], ["qualiti", 0.21264177984065877], ["ear", 0.19754709933709738], ["goal", 0.19579314198563924], ["badli", 0.19451441132704705]]</t>
  </si>
  <si>
    <t>It helped that Moore got his ears untucked at half-time. C'mon Wales! We so don't deserve that but I'll take it. That's the quality of Kieffer Moore! Daniel James has been Wales's best player so far. Very weird subbing him off. But what a - reaction from him.</t>
  </si>
  <si>
    <t>[["best", 0.7191994043233519], ["jame", 0.6948037253936795]]</t>
  </si>
  <si>
    <t>Daniel James has been Wales' best player, why have they taken him off?? Wales taking Dan James off when he's been their best player 😳 #WAL Euro 2020. Daniel James has been Wales's best player so far. Very weird subbing him off. But what a - reaction from him.</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</si>
  <si>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</si>
  <si>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[["mola", 0.3686245247584055], ["favour", 0.3506788073486479], ["strang", 0.3473089062147352], ["equalis", 0.3400456882560137], ["gonna", 0.3264400028133761], ["arena", 0.3208057174050565], ["bucharest", 0.3208057174050565], ["shaqiri", 0.31738550671299015], ["win", 0.30291341244286824]]</t>
  </si>
  <si>
    <t>Strange choice to take James off 🤔 #WALSUI EURO 2020. The best video at the Euros so far. National Arena in Bucharest. Austria's training session. EURO 2020. Shaqiri off. No way Switzerland are gonna win now. 📸 Kieffer Moore nets the equaliser in Baku ⚽️. EURO 2020.</t>
  </si>
  <si>
    <t>[["pleas", 0.4010665936437562], ["okay", 0.36439975591259455], ["lead", 0.3608126999630094], ["test", 0.3546426824784544], ["ben", 0.35275584171813884], ["shite", 0.3391055262975362], ["protect", 0.3260197256720653], ["davi", 0.32354762447688384]]</t>
  </si>
  <si>
    <t>Switzerland taking off Shaqiri to try and protect the lead was such a bad idea. Kieffer Moore is the best shite player I've seen in a while. Ben Davies very poor at football. No wonder Spurs haven't won anything 😂😂😂. Can Wales please score one Moore to win the match.</t>
  </si>
  <si>
    <t>[["cross", 0.3930840924196836], ["assist", 0.3838931229529406], ["embolo", 0.3724920602690203], ["score", 0.3483727963548348], ["aaron", 0.3374170320021778], ["winner", 0.33292523564950566], ["xhaka", 0.3271068332049697], ["genit", 0.32605011867144573]]</t>
  </si>
  <si>
    <t>Can Wales please score one Moore to win the match. Xhaka to score the winner 👀. Embolo with the assist 💀. I can cross better than Ben Davies. Backing Joe Rodon to score a late winner with his genitals, for the bit. Another great cross #wal. Aaron Ramsey is so good off the ball.</t>
  </si>
  <si>
    <t>[["offsid", 0.7262711492317945], ["level", 0.3968753867372515], ["touch", 0.3968753867372515], ["gavranov", 0.3968753867372515]]</t>
  </si>
  <si>
    <t>Wales levels the score. #WAL #Switzerland. We wanted that Gavranovic didn't we... looks like the player we needed. HE SCORED WITH HIS FIRST TOUCH (2-1) #SUI. Surely that's offside. EURO 2020. That's offside ffs EURO 2020. Could have driven a bus through that offside gap. #WALSUI.</t>
  </si>
  <si>
    <t>[["offsid", 1.0]]</t>
  </si>
  <si>
    <t>What a sub that would be if it wasn't offside EURO 2020. Switzerland’s second goal is ruled offside! EURO 2020.</t>
  </si>
  <si>
    <t>[["embolo", 0.46942891600700287], ["moor", 0.4543782231583531], ["need", 0.4197588948623814], ["swindon", 0.2518245421418732], ["equalis", 0.2518245421418732], ["immens", 0.248323152388016], ["wouldv", 0.23870738258413648], ["save", 0.23546827124902808], ["assist", 0.22957569136644412], ["terror", 0.20821211762636285]]</t>
  </si>
  <si>
    <t>The boy: Did Swindon score first? EURO 2020 #WALSUI. Ramsey would’ve had the assist of the year if Bale scored. Embolo has been immense this second-half. 🏴󠁧󠁢󠁷󠁬󠁳󠁿🆚🇨🇭 Drop a GIF 📱👇 to react to Kieffer Moore's equaliser... EURO 2020. Wales only needed one Moore goal.</t>
  </si>
  <si>
    <t>[["bow", 0.567751171141615], ["goal", 0.4867000474715184], ["sinc", 0.4717086614129859], ["ward", 0.4671965434445286]]</t>
  </si>
  <si>
    <t>Feel like Rodriguez has been Switzerlands right back in every tournament since I started watching football. Danny Ward take a bow son EURO 2020. Please tell me why Joe Allen is marking goal scorer Embolo, who is double his height in front of goal one of the most dangerous players.</t>
  </si>
  <si>
    <t>[["sub", 0.31154507349291205], ["blow", 0.31154507349291205], ["wast", 0.31154507349291205], ["produc", 0.3031577982402411], ["2nd", 0.2953734450299298], ["danni", 0.2936595559490175], ["ill", 0.29295785268734226], ["2017", 0.28422514676909366], ["aw", 0.28420659775565094], ["ward", 0.2641931390619583], ["ass", 0.25154553930857615], ["huge", 0.2509544645859221]]</t>
  </si>
  <si>
    <t>I need to sub bale out of my team. Ward saved my ass! EURO 2020. Huge blow to #SUI in a game that they likely had to win. I’ll take a point after that #WAL. Danny Ward hasn't played a league game since 2017. He's produced a masterclass for Wales at Euro 2020! 🏴󠁧󠁢󠁷󠁬󠁳󠁿.</t>
  </si>
  <si>
    <t>[["strea", 0.42429896223714114], ["clock", 0.42429896223714114], ["time", 0.42429896223714114], ["matchday", 0.42429896223714114], ["especi", 0.39871844524249617], ["win", 0.3477141987341717]]</t>
  </si>
  <si>
    <t>Who will win? EURO 2020 strea EURO. No chance Wales are winning this, especially with Ben Davies centre half 🤮. Football o'clock #WALSUI. ⚽️ Here we go! ℹ️ Group A, matchday. 🏴󠁧󠁢󠁷󠁬󠁳󠁿🆚🇨🇭 Who's winning this? EURO 2020. Time for some more EURO 2020 football 😊🤗.</t>
  </si>
  <si>
    <t>[["save", 1.0]]</t>
  </si>
  <si>
    <t>What a superb save! That's in. #SUI. What a fucking save from Sommer. More of that please. Tasty and needed a good save. #WALSUI. What a save that it EURO 2020. What a save! Great header that is why we need moore in the team 🏴󠁧󠁢󠁷󠁬󠁳󠁿. Holy shit what a save from Sommer.</t>
  </si>
  <si>
    <t>[["cross", 1.0]]</t>
  </si>
  <si>
    <t>Somebody should really be getting on the end of that cross #WAL. Sky Bet seeing Bale cross the free kick rather than shoot…. Bale's crosses are still better than any of our current wingers bar maybe Vasquez. Mepham has to get a head on that Bale cross #WALSUI.</t>
  </si>
  <si>
    <t>[["seferov", 0.6317343595418934], ["pen", 0.5893282409162606], ["penalti", 0.3158671797709467], ["embolo", 0.28767504097461705], ["need", 0.26659879777774775]]</t>
  </si>
  <si>
    <t>Seferovic decided to be Werner today and that should of been a pen. Seferovic scored 22 league goals this season. How is that not a penalty for Switzerland? EURO 2020. Should be 1-0 Switzerland. Seferovic needs to be ready for that lay-off all the way.</t>
  </si>
  <si>
    <t>[["var", 1.0]]</t>
  </si>
  <si>
    <t>What’s the point on VAR?? UEFA EURO 2020. How can that level of shirt pulling be watched by VAR and be allowed? #WALSUI. Is there no VAR in the euros? 😂😂#Euros #WALSUI. Why hasn’t VAR intervened there with the shirt pull? EURO 2020 #WALSUI.</t>
  </si>
  <si>
    <t>[["lead", 0.749162156399776], ["embolo", 0.6344913742624457], ["save", 0.19020189117090971]]</t>
  </si>
  <si>
    <t>What a turn from embolo and save from ward. Embolo. It's fun to say and to see score. Embolo destroyed the defence to win the corner. Embolo scores the corner to give Switzerland the lead! #SUI. Swiss have been knocking on the door for a long time. Deserved lead. #SUI #WAL.</t>
  </si>
  <si>
    <t>[["defend", 0.9156853784373336], ["need", 0.40189586675664746]]</t>
  </si>
  <si>
    <t>That was coming. Crap defending #WALSUI EURO 2020. Poor defending #wal #WALSWI. That's what happens when you defend by looking at the player and not having any interest in where the ball is. #WALSUI. Ramsey your team needs you. Need to go for it now #WALSUI EURO 2020.</t>
  </si>
  <si>
    <t>[["mbabu", 0.5932473244200561], ["tackl", 0.5932473244200561], ["book", 0.5441647031339771]]</t>
  </si>
  <si>
    <t>Games gone, phenomenal tackle from mbabu. Perfect tackle from Mbabu and he gets booked 🤦🏼‍♂️. Mbabu booked for a great tackle. Modern football sucks.#WALSUI. Booked for a fine tackle.....🙈. #WALSUI. Great tackle from Mbabu. Tackling is a dying art, or dead more like it. EURO 2020.</t>
  </si>
  <si>
    <t>[["littl", 0.5553769930793458], ["zakaria", 0.4891446449239221], ["star", 0.486359107021809], ["bring", 0.46448760039138076]]</t>
  </si>
  <si>
    <t>Zakaria is the player united should go for. Swiss bringing a CDM to control the game better. Shaq had an asisst and created another chance a few mins ago. Zakaria is a good player btw. Stars of day one: ▪️#ITA. ▪️The little car that brings the match ball out. EURO 2020.</t>
  </si>
  <si>
    <t>[["moor", 0.6314722112896253], ["goal", 0.5717131518298184], ["keifer", 0.3390810984538593], ["deserv", 0.2823259267838928], ["sub", 0.2823171941819096]]</t>
  </si>
  <si>
    <t>Keifer Moore would be such an asset to a lot of premier league football teams. Every single one of Wales’ goals at this tournament are away to be Kieffer Moore headers. Dan James has been Wales’ best player alongside Moore and he gets subbed 🤣.</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</si>
  <si>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</si>
  <si>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[["embolo", 0.7297947555284168], ["equalis", 0.6836663036915146]]</t>
  </si>
  <si>
    <t>Embolo has the tools to be a top player but his end product is shocking EURO 2020. Embolo is a very funny player. Would love a player like embolo at Everton, absolute nuisance and powerhouse. 📸 Kieffer Moore nets the equaliser in Baku ⚽️. EURO 2020.</t>
  </si>
  <si>
    <t>[["throw", 0.637022846946705], ["corner", 0.5756575685180567], ["tidi", 0.5126599811529994]]</t>
  </si>
  <si>
    <t>Brooks is a tidy player. Why is Bale taking corners? Mfer you need to be in the box attacking them balls. Gareth Bale taking a long throw, vivid Harry-Kane-on-corners flashbacks there.</t>
  </si>
  <si>
    <t>[["var", 0.6673916483869867], ["second", 0.3446199839069959], ["gavranov", 0.3446199839069959], ["offsid", 0.3446199839069959], ["exist", 0.340273319275929], ["never", 0.2872519032627426]]</t>
  </si>
  <si>
    <t>85' | Gavranovic scores within seconds of coming on but he is far offside. #WALSUI EURO 2020. What a substitution, Gavrancic gives the Swiss the lead but VAR denies it for offside 😂🤦🏽‍♂️. #WAL. #SUI. The Switzerland players celebrating that goal as if VAR never existed. #walsui.</t>
  </si>
  <si>
    <t>[["half", 0.8151208332756009], ["equalis", 0.4485562557099673], ["save", 0.3665723838801069]]</t>
  </si>
  <si>
    <t>Embolo looks half about tbf. What a save 👏🏼👏🏼 #WAL. 📸 Kieffer Moore nets the equaliser in Baku ⚽️. EURO 2020. Take that all day long after the first half, onto Wednesday. Danny Ward unbelievable. That was a good Second Half! Wales Switzerland. Euro 2020.</t>
  </si>
  <si>
    <t>[["draw", 0.8329988681091207], ["second", 0.39680864093489665], ["ill", 0.3855590593000301]]</t>
  </si>
  <si>
    <t>Will take a draw there. Great fighting spirit in the second half. Get in Wales! EURO 2020 #Wal ❤. I’ll take a draw #WAL. Always take a draw after being outplayed. All fine for now #WALSUI. That was a good Second Half! Wales Switzerland. Euro 2020.</t>
  </si>
  <si>
    <t>[["matchday", 1.0]]</t>
  </si>
  <si>
    <t>⚽️ Here we go! ℹ️ Group A, matchday. 🏴󠁧󠁢󠁷󠁬󠁳󠁿🆚🇨🇭 Who's winning this? EURO 2020. ⚽️ Here we go! ℹ️ Group A, matchday 1. 🏴󠁧󠁢󠁷󠁬󠁳󠁿🆚🇨🇭 Who's winning this? EURO 2020.</t>
  </si>
  <si>
    <t>Great cross from Dan James! EURO 2020. Wales cross goes off for a throw in. Robbie Savage, "What a cross from the wales player." #WALSUI EURO 2020. Shaqiri lost all his creativity all he does is crossing the ball, klopp is so ill. Rodriguez doesn’t half have a cross on him.</t>
  </si>
  <si>
    <t>[["ben", 0.7369583635442924], ["davi", 0.6759381409582673]]</t>
  </si>
  <si>
    <t>Ben Davies giving the ball away, what a surprise 😂. Ben davies still giving the ball away 😹😹😹 some players never change lol. Ben Davies giving the ball away....🙄 #wal.</t>
  </si>
  <si>
    <t>You just know Xhaka is scoring a thunderbastard in this game. Granit Xhaka is always shooting without scoring. Fraud. Xhaka’s going to score a banger at some point #SUI. Xhaka is scoring a screamer today i can feel it. Granit Xhaka is in mood for a long range goal. EURO 2020.</t>
  </si>
  <si>
    <t>[["bale", 0.5870736469885839], ["yellow", 0.5688196020047649], ["foul", 0.3271965767226238], ["cross", 0.28910529259024764], ["schar", 0.268549395565422], ["red", 0.26273664667384017]]</t>
  </si>
  <si>
    <t>Good tackle that from Schar. Dan James making a meal of it. EURO 2020. Bit of a weird tactical foul in Bale free kick range tbh. First Yellow card of the game and it is not Xhaka. Suuuuuiiii🙌. They just watch that Bale nice cross like it was a shooting star.</t>
  </si>
  <si>
    <t>[["seferov", 0.7630237784518815], ["pen", 0.36612561799450255], ["penalti", 0.21205004266420052], ["half", 0.20259255637579798], ["striker", 0.1968714253783667], ["embolo", 0.19258043984525208], ["goal", 0.1793828858029706], ["take", 0.1769972415081346], ["chanc", 0.17120363145796644], ["season", 0.17051472161077882]]</t>
  </si>
  <si>
    <t>How many goals did they say seferovic scored this season? Embolo shouldve gotten a retrospective penalty there after seferovic missed. Ffs Seferovic... Embolo might as well have had his shirt completely torn off there. Should've gone down for the pen.</t>
  </si>
  <si>
    <t>[["halv", 0.3988357819350072], ["dull", 0.3988357819350072], ["half", 0.3988357819350072], ["touch", 0.3856158841221825], ["anoth", 0.3762354403967268], ["penalti", 0.3429153524983003], ["honest", 0.33903746322197087]]</t>
  </si>
  <si>
    <t>Embolo honest there, but if he goes down he wins a stonewall penalty? Go down everyday for me. #SUI. That was a long 4 halves of football #WALSUI. First half #WALSUI. I hope to see goal in 2nd half! Once again another dull game of football so far EURO 2020 Euros 2021.</t>
  </si>
  <si>
    <t>[["embolo", 0.813322089682946], ["defend", 0.3954587030451623], ["save", 0.28151577816417755], ["goal", 0.24275542624158708], ["yellow", 0.14821987433284237], ["class", 0.14821987433284237]]</t>
  </si>
  <si>
    <t>Embolo! Turns between the defenders and lashes one on target - well-saved by Ward. Embolo been absolutely class. Goal now to top it off. Awful defending from Roberts more focused on wrestling Embolo than doing his job and Embolo just doesn’t miss from there.</t>
  </si>
  <si>
    <t>[["embolo", 0.7945059660520759], ["lead", 0.42939508026272133], ["corner", 0.42939508026272133]]</t>
  </si>
  <si>
    <t>Embolo has started the 2nd half like a man on a mission. 1-0 Embolo. Been coming all day long from a corner. Embolo’s gonna have his second “breakout” Euro’s in five years. Embolo takes the lead for Switzerland!. 🏴󠁧󠁢󠁷󠁬󠁳󠁿 0-1 🇨🇭. #WALSUI.</t>
  </si>
  <si>
    <t>[["legend", 0.8629697262738786], ["mbabu", 0.5052556298892541]]</t>
  </si>
  <si>
    <t>Mbabu is a strange footballer. MBABU IS WEARING ANKLE SOCKS IN A FOOTBALL GAME???? Did people really think Wales was going to win this game? What did they think robson kanu would dance by mbabu. Kevin Mbabu is a really smart footballer. Embolo the Football Manager legend...</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</si>
  <si>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</si>
  <si>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[["yellow", 0.7947343255423266], ["mbabu", 0.4008727039677552], ["tackl", 0.35044257039338], ["bad", 0.1696382857290573], ["cross", 0.16774752186689065], ["foul", 0.16724847621688096]]</t>
  </si>
  <si>
    <t>Tackle of the game from Mbabu and gets a yellow? Oh dear oh dear. If that is a yellow for Mbabu, football is dead. How was that a yellow card? That was a great tackle from Mbabu tf. Honestly if you cant get on the end of that cross, then you might as well give up #wal.</t>
  </si>
  <si>
    <t>[["ramsey", 0.8773036877374666], ["2nd", 0.4799356618154581]]</t>
  </si>
  <si>
    <t>Ramsey robbed of an assist. Ramsey should've score there. 2nd game and 2nd winner!!! Moore with a card at Lovely stuff ✅. That’s 2 brilliant free kicks from Wales (Bale/Ramsey) and not one player gambling on getting the final touch on it. What a ball Ramsey. What a ball by Ramsey.</t>
  </si>
  <si>
    <t>[["zakaria", 0.6945236394325544], ["littl", 0.35416533702647357], ["embolo", 0.34027106433268894], ["star", 0.31015245355989085], ["shaqiri", 0.30411761151481487], ["bring", 0.296204937523814]]</t>
  </si>
  <si>
    <t>Zakaria is not a good player and Zakaria got Shaqiri is not a good change. 🏴󠁧󠁢󠁷󠁬󠁳󠁿🆚🇨🇭 THE winning goal? ⚽️ Embolo. EURO 2020. Embolo finally showing that career mode potential EURO 2020. Stars of day one: ▪️#ITA. ▪️The little car that brings the match ball out. EURO 2020.</t>
  </si>
  <si>
    <t>[["assist", 1.0]]</t>
  </si>
  <si>
    <t>Love the analysis that Shaqiri needs to do “much more” for his team as he gets subbed with an assist in a 1-0 game lmao. She's going to miss me. Yet I'm here biting my lip at the fact Shaqiri got an assist.. Shaqiri with a assist for #SUI 😍. #WALSUI.</t>
  </si>
  <si>
    <t>[["moor", 0.8477202645243002], ["header", 0.23913182688562956], ["corner", 0.2135305974039835], ["final", 0.21031187000158227], ["win", 0.20807454838889114], ["take", 0.2053197583331912], ["gol", 0.12033652907031589], ["kieffer", 0.11102901886423677], ["half", 0.10845841062078235], ["defend", 0.10167178985172806]]</t>
  </si>
  <si>
    <t>This is what happens when half of your fantasy league have Kieffer Moore. 1-1. Wales level. Moore heads home from a short taken corner. 1-1 what a header from Moore, low-key want Wales to win this. Daniel James has been there best player on the pitch and they are taking him off.</t>
  </si>
  <si>
    <t>[["equalis", 0.6538720415496367], ["club", 0.5662532938053881], ["zakaria", 0.31687749951839633], ["bale", 0.2792615390367978], ["convinc", 0.2709431742045307]]</t>
  </si>
  <si>
    <t>That ball from Zakaria 🤤🤤. Bale doesn’t want Wales to win this game I’m convinced. Zakaria’s cross… woah. Bale last minute free kick to win it, you heard it here first 👍. So a Premier league club will come and buy Moore😂. Finally an equaliser by Moore for Wales. EURO 2020.</t>
  </si>
  <si>
    <t>[["equalis", 0.5920251255191287], ["ben", 0.5806019878896734], ["goal", 0.5589343274595142]]</t>
  </si>
  <si>
    <t>Finally an equaliser by Moore for Wales. EURO 2020. Xherdan Shaqiri has been directly involved in half of Switzerland's goals in their last 4 tournaments. Ben Davies is a horrific footballer. Need one Moore goal from Wales. Ben Davies is honestly an embarrassment to football.</t>
  </si>
  <si>
    <t>[["brook", 0.7353348755178117], ["2017", 0.3707951341555215], ["non", 0.33451798282687684], ["woken", 0.32624159389900415], ["goalscor", 0.3216484585840074]]</t>
  </si>
  <si>
    <t>Some ball that in by Brooks. What a ball by Brooks #afcb. Wales in the ascendancy here , great ball that by Brooks #WAL. Wales have finally woken up. EURO 2020. From non-league in 2017, to a goalscorer at the EUROs... Kieffer Moore, what a story 👏. EURO 2020 #WAL.</t>
  </si>
  <si>
    <t>[["offsid", 0.5833234049118778], ["var", 0.5833234049118778], ["touch", 0.5652146588368234]]</t>
  </si>
  <si>
    <t>Oh what touches from the swiss, but I think that's off EURO 2020. Euro 2020 Blatantly offside on the replay. Will VAR finally be useful? #SUI back ahead through Gavranovic but looks offside. VAR will surely cancel. First big VAR moment hope they get it right EURO 2020.</t>
  </si>
  <si>
    <t>[["offsid", 0.9692229956358025], ["var", 0.2461844526584916]]</t>
  </si>
  <si>
    <t>What a sub that would be if it wasn't offside EURO 2020. What did they need the reviews for? Obvious offside. EURO 2020. Switzerland’s second goal is ruled offside! EURO 2020. VAR got that call was just a touch offside on that one...</t>
  </si>
  <si>
    <t>[["zakaria", 0.7705162817364737], ["save", 0.3980330841341096], ["much", 0.3580461218813847], ["half", 0.345944067906054]]</t>
  </si>
  <si>
    <t>Much better second half this game! #WALSUI EURO 2020. Lol that ball was way too heavy from Embolo, could’ve put Zakaria through on goal. Tell you what, Zakaria ball distribution is fantastic. Love him at CDM. Hell of a save! Fantastic. EURO 2020. What a save by Ward! EURO 2020.</t>
  </si>
  <si>
    <t>[["ward", 0.585162857873066], ["corner", 0.3527979958940015], ["deserv", 0.3527979958940015], ["equalis", 0.3527701922903287], ["header", 0.3184939443972197], ["brook", 0.30562916376875426], ["club", 0.29892673185905483]]</t>
  </si>
  <si>
    <t>Good save by Ward off another header from a corner by Embolo -- both teams not settling for a draw #WALSUI Euro 2020. #sui deserves to win this. 🏴󠁧󠁢󠁷󠁬󠁳󠁿🆚🇨🇭 Drop a GIF 📱👇 to react to Kieffer Moore's equaliser... EURO 2020. Celtic Football Club im not saying sign danny ward but...</t>
  </si>
  <si>
    <t>[["ward", 0.6538713188798829], ["danni", 0.6313752982555954], ["bow", 0.30443154916169723], ["take", 0.2848490178567401]]</t>
  </si>
  <si>
    <t>Danny Ward Dan James … best players on the pitch today!! Danny Ward take a bow👏👏👏. Danny Ward is outstanding, sign him up someone he's too good to be a bench player. Danny ward needs to play first team football. This Danny Ward fella is class, we ought to take a look at him.</t>
  </si>
  <si>
    <t>[["game", 0.44254587620432684], ["2017", 0.43881973434218996], ["produc", 0.4297583695952935], ["smile", 0.3903001154578125], ["ramsey", 0.385460478460651], ["draw", 0.3549424902539757]]</t>
  </si>
  <si>
    <t>Watching Aaron Ramsey play football makes me smile. #SUI will be so disappointed not to win that game considering how many chances they had. 1-1 draw it is. Danny Ward hasn't played a league game since 2017. He's produced a masterclass for Wales at Euro 2020! 🏴󠁧󠁢󠁷󠁬󠁳󠁿.</t>
  </si>
  <si>
    <t>[["car", 0.8549295440490254], ["let", 0.27968875483081734], ["suit", 0.27968875483081734], ["remot", 0.16822355108333906], ["control", 0.16006151508297495], ["deliv", 0.15043723393091402], ["toy", 0.1401597481060244], ["want", 0.1282532941597379]]</t>
  </si>
  <si>
    <t>That car must be brought into the premiership -the car presentation of the ball was brilliant 👏🏽👏🏽#TURITA. Nice of Insigne to let them use his car to bring out the match ball. Bocelli. The remote control car. The crowd noise. Bobby Mancini’s suit.. Euro 2020 is tremendous already.</t>
  </si>
  <si>
    <t>[["come", 1.0]]</t>
  </si>
  <si>
    <t>@PizzaExpress COME ON ITALY 🇮🇹 #ITA. Come on Berardi. Come on Turkey #TUR. Come on Mancini. Come on Euro 2021 #TURITA.</t>
  </si>
  <si>
    <t>[["eye", 1.0]]</t>
  </si>
  <si>
    <t>Got my eye on Locatelli here. My eye on locatelli, barella, and Celik. @JonnyFX1 keep a eye on Locatelli and Barella in the midfield for italy absolute ballers 😤. Eyes on Barella tonight 🧐. Eyes down for #TURITA.</t>
  </si>
  <si>
    <t>[["small", 1.0]]</t>
  </si>
  <si>
    <t>Insigne is so small it’s hilarious. Insigne is a small man. Insigne is small 🤏🏼. Didn’t know insigne was that small jheez EURO 2020. Insigne 😭😭😭😭😭😭. To my small kings out there. If Insigne can make it. SO CAN YOU👑. Insigne to score. Bro is Insigne that small ?😂.</t>
  </si>
  <si>
    <t>[["lorenzo", 1.0]]</t>
  </si>
  <si>
    <t>Lorenzo insigne is so good. Lorenzo Insigne is the same height as the queen. @cringesocringee Lorenzo Insigne is the driver. Nice of them to let Lorenzo Insigne drive to the game.. Still can't get over how short Lorenzo Insigne is. EURO 2020.</t>
  </si>
  <si>
    <t>[["curl", 0.6666666666666666], ["target", 0.3333333333333333], ["midget", 0.3333333333333333], ["napoli", 0.3333333333333333], ["chanc", 0.3333333333333333], ["better", 0.2153516458503781], ["gotta", 0.17302925364211294], ["finish", 0.13528162428391033], ["done", 0.12843106810972454]]</t>
  </si>
  <si>
    <t>Insigne should be doing better there. No curl at all. Lorenzo Insigne is a brilliant player but he plays for Napoli... Chance for Insigne. Should’ve at least hit the target from there. Insigne just bottled me like 8 points fuck this midget.</t>
  </si>
  <si>
    <t>[["bonucci", 0.6706282397358853], ["immobil", 0.5142458896265253], ["yard", 0.39086583459944013], ["wtf", 0.2808908017686974], ["shoot", 0.2326653947100709]]</t>
  </si>
  <si>
    <t>@AgyeiAgenda_ He is 5’4 and Bonucci is 6’2 tbf. Bonucci wtf is that. @ankitpathak04 @rohan8r Bonucci is my captain today. Bonucci shooting from 40 yards. Lmao immobile expecting pass from bonucci these juve boys that love to shoot from 35 yards. Immobile up for this tournament.</t>
  </si>
  <si>
    <t>[["deni", 0.7559289460184544], ["penalti", 0.3779644730092272], ["header", 0.3779644730092272], ["cakir", 0.3779644730092272]]</t>
  </si>
  <si>
    <t>Immobile needed to look up on that run. 100% not a penalty. Watching insigne try to win headers is an art form. (22) - Cheilini with the header from the corner and it's well saved by Cakir. Çakir with a terrific save to deny Chiellini. Italy ramping up the pressure though.</t>
  </si>
  <si>
    <t>[["soyuncu", 0.9645915957918777], ["ball", 0.26374808687017776]]</t>
  </si>
  <si>
    <t>Is soyuncu supposed to be good on the ball. Soyuncu is suffering over there. Soyuncu has to stop losing the ball😂. Soyuncu get out and let my boy Kabak ball. How is Soyuncu this bad. Soyuncu playing as if it's Premier League. Soyuncu not on his game today. EURO 2020.</t>
  </si>
  <si>
    <t>Yilmaz is always offside 😭. EURO 2020. Does yilmaz know the offside rule, moving like jesus. Name: Burak Yilmaz. Place of birth: Offside. In-play to get caught offside 3 more odds you giving @KingPaul_AFC. Burak Yilmaz has been watching Alvaro Morata lately it looks like #Offside.</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</si>
  <si>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</si>
  <si>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[["header", 1.0]]</t>
  </si>
  <si>
    <t>IMMOBILE MISSED HEADER SHITE. Immobile header. A close header by Immobile even though he was backtracking. EURO 2020. Immobile’s header wide. Immobile close with his header, the home side are going through the gears just now Italy 0 Turkey 0. Euro 2020 On DStv.</t>
  </si>
  <si>
    <t>[["dive", 0.4472135954999579], ["yilmaz", 0.4472135954999579], ["spinazzola", 0.4472135954999579], ["ref", 0.4472135954999579], ["jermain", 0.3173523693157658], ["jena", 0.31509914898277613]]</t>
  </si>
  <si>
    <t>If it's a dive, then why hasn't Yilmaz been booked? This Spinazzola is a right player, him and Insigne are dangerous down that left. Spinazzola has been the brightest in this team so far. euro 2020. Wtf is this ref 💀💀 celik was playing basketball in the box.</t>
  </si>
  <si>
    <t>[["yellow", 0.4472135954999579], ["handbal", 0.4472135954999579], ["penalti", 0.4472135954999579], ["giorgio", 0.4472135954999579], ["pen", 0.4472135954999579]]</t>
  </si>
  <si>
    <t>Totally understand why Italy are asking for the pens cause in serie a any time it hits an arm its a pen yilmaz dive was a shocker too been a good game so far. Wasn't that a foul on Barella inside the box? And that handball at the end is a penalty too?</t>
  </si>
  <si>
    <t>[["second", 1.0]]</t>
  </si>
  <si>
    <t>A goal from Insigne or Immobile second half. EURO 2020. Chiesa second half needed. Berardi and Locatelli haven’t impressed me so far, big second half needed from both. Bring on chiesa at the second half pls. @FCBGox I picked Berardi hoping for second half masterclass.</t>
  </si>
  <si>
    <t>[["bu", 1.0]]</t>
  </si>
  <si>
    <t>This is what we call ‘parking the bus’ #ITATUR. Turkish team playing the entire first half from their team bus. Uefa Euro 2020 #TURITA. Will the car return for the second half or is it stuck behind that bus Turkey have parked ? #TURITA.</t>
  </si>
  <si>
    <t>[["second", 0.5773502691896257], ["car", 0.4571836196015862], ["rio", 0.4228997773057019], ["whi", 0.3525854099382523], ["citi", 0.3066461092223125], ["man", 0.24588061205987485]]</t>
  </si>
  <si>
    <t>✅✅Second in-play bet WON out of 2 in #TURITA. Let's get more in the second half, should we?🤔. I think Manchester City’s living rent free in Rio’s head, guy just said man city instead of Mancini 😂🤧. Has Rio really just called Mancini Man City? 🤣🤣 euro 2020.</t>
  </si>
  <si>
    <t>[["ref", 1.0]]</t>
  </si>
  <si>
    <t>Thanks ref #TUR #ITA. Is the var ref. Turkish ?, shame ! Euro 2021 #ITATUR. The Italians were not happy at all with the decisions made by the ref and VAR this 1st half! 😠. #ITA vs #TUR. EURO 2020.</t>
  </si>
  <si>
    <t>Lorenzo insigne too short. One of Lorenzo Insigne’s first half chances. 🌋 Euro 2020. @Mr_Blavo 😁 Lorenzo Insigne that. Napoli. And why did Lorenzo Insigne bring the ball on in his car?.</t>
  </si>
  <si>
    <t>[["yazici", 0.6548315385632718], ["florenzi", 0.5448630115420333], ["cengiz", 0.3274157692816359], ["second", 0.2753979620116769], ["sub", 0.24478109160560885], ["underway", 0.17707921530800957]]</t>
  </si>
  <si>
    <t>Cengiz Under coming on, finally an outlet for Turkey on the break. Turkey bring on Cenzig Under for the second half, replacing Yazici. Italy also make a sub, Di Lorenzo on for Florenzi. EURO 2020. @eggheadnoyoke Let me and Yazici are not in this game. Burak can't score.</t>
  </si>
  <si>
    <t>Berardi absolute clown. How can you be offside there 😂. This Yilmaz don is the new Benteke why tf is he always offside. There's no way that offside call was correct. Unless the rules have changed, I'm pretty sure you can't be offside from a corner or throw-in.#TURITA #euro.</t>
  </si>
  <si>
    <t>Under for Yazici</t>
  </si>
  <si>
    <t>[["demir", 0.4071220201079885], ["kabak", 0.2781255049696774], ["unlucki", 0.2781255049696774], ["poor", 0.2781255049696774], ["deserv", 0.2781255049696774], ["juventu", 0.2781255049696774], ["assist", 0.2781255049696774], ["spur", 0.2781255049696774], ["lmao", 0.2781255049696774], ["unfortun", 0.2781255049696774], ["itatur", 0.2781255049696774], ["juve", 0.24640149268380973]]</t>
  </si>
  <si>
    <t>Demiral linked to spurs and he does that haha, ofcourse. Demiral is a calamity , can see why he's not getting any game time at juve. Soooooo is that an assist for berardi as per euro fantasy rules? 👀👀. Kabak should have started ahead of this guy that scored the own goal.</t>
  </si>
  <si>
    <t>Di Lorenzo for Florenzi</t>
  </si>
  <si>
    <t>[["come", 0.5], ["spinazzola", 0.5], ["cross", 0.5], ["merih", 0.5]]</t>
  </si>
  <si>
    <t>Spinazzola has been the best player on the pitch by quite some way. Watching Spinazzola has probably been the most enjoyable part of this game. Best name of the tournament so far "Spinazzola" euro 2020. Merih Demiral(Turkish) has scored the first goal of the Euros.!!</t>
  </si>
  <si>
    <t>Demiral (own goal)</t>
  </si>
  <si>
    <t>[["insign", 0.4472135954999579], ["tufan", 0.4472135954999579], ["assist", 0.4472135954999579], ["locatelli", 0.4472135954999579], ["spur", 0.4472135954999579]]</t>
  </si>
  <si>
    <t>That assist from Berardi counts or not? Sorry Demiral, that’s what you get for being linked with Spurs. Im impressed with what Locatelli is doing. Locatelli has so much to his game.. @ben_cook_2005 i have Insigne and Berardi but put Insigne as captain.</t>
  </si>
  <si>
    <t>Ayhan for Tufan</t>
  </si>
  <si>
    <t>[["chiesa", 0.5830870627837321], ["cakir", 0.37504433205269644], ["kabak", 0.37504433205269644], ["pitch", 0.37504433205269644], ["sub", 0.3120520360369838], ["berardi", 0.23808080599123163], ["need", 0.22346967326244324], ["fuck", 0.18449142515411274]]</t>
  </si>
  <si>
    <t>Euro 2021 #TURITA This Cakir fella is fucking good. Chiesa for Berardi is so needed. Bring on Kabak and Turkey will win this 😏😏. Get Berardi off the pitch he is playing against them. Time for Chiesa to step in Berardi's place! #Tur #ITA. It's time to sub in Chiesa and Belloti.</t>
  </si>
  <si>
    <t>Kahveci for Yokuşlu</t>
  </si>
  <si>
    <t>[["barella", 0.5773502691896257], ["immobil", 0.5773502691896257], ["spinazzola", 0.5773502691896257]]</t>
  </si>
  <si>
    <t>Barella is a don. Barella is a baller. Barella is the best player on the pitch he’s so fucking good Euro 2020. @NotAfcZek @hsznnnnn Immobile. Spinazzola is a player. The entire fucking team tbh. Insigne, Barella, Spinazzola. You could not chat to me if my name was Spinazzola.</t>
  </si>
  <si>
    <t>Immobile</t>
  </si>
  <si>
    <t>[["spinazzola", 0.4079667735781295], ["captain", 0.33363387235473596], ["barella", 0.33363387235473596], ["scorer", 0.27171808082388016], ["top", 0.19354001726656853], ["he", 0.16681693617736798], ["mobil", 0.16681693617736798], ["kabak", 0.16681693617736798], ["ff", 0.16681693617736798], ["rebound", 0.16681693617736798], ["deserv", 0.16681693617736798], ["italia", 0.16681693617736798], ["decent", 0.16681693617736798], ["point", 0.16681693617736798], ["movement", 0.16681693617736798], ["right", 0.16681693617736798], ["cakir", 0.16681693617736798], ["that", 0.16681693617736798], ["ciro", 0.14716433793275557], ["great", 0.14198577294725517], ["striker", 0.13126361806135106], ["boot", 0.11872098464556087], ["golden", 0.11718881346098083], ["assist", 0.11429253756676547], ["proper", 0.10294538731311771], ["finish", 0.08756672014055664], ["move", 0.08328520390502658], ["gr8", 0.08110606452689578], ["immobil", 0.07855283468098259]]</t>
  </si>
  <si>
    <t>Immobile, always in the right place at the right time, quality striker. Italy score again immobile could be a shout for top scorer. Barella did so well in the build-up to that but yet again Spinazzola is the man. Oh captain my captain, another goal would be great @ciroimmobile.</t>
  </si>
  <si>
    <t>Cristante for Locatelli</t>
  </si>
  <si>
    <t>[["insign", 0.6324555320336759], ["poacher", 0.31622776601683794], ["kabak", 0.31622776601683794], ["fantasi", 0.31622776601683794], ["name", 0.31622776601683794], ["doubl", 0.2560559598418717], ["hors", 0.22380060776888966], ["dark", 0.2234128196014624], ["lead", 0.18556763033853124]]</t>
  </si>
  <si>
    <t>That's game, set, match for Italy. Poacher's goal for Immobile 🔥🙌. Insigne needs to come off , Chiesa should be playing. What a great name for a footballer: "Immobile". 😀 Euro 2021. Would still be 0-0 if Kabak was playing. Just saying.</t>
  </si>
  <si>
    <t>Dervisoglu for Karaman</t>
  </si>
  <si>
    <t>[["rebound", 0.7071067811865476], ["merih", 0.4523424087646602], ["demir", 0.44890235152048663], ["goal", 0.30638704938747413]]</t>
  </si>
  <si>
    <t>Ciro Immobile scores through a rebound from Spinazolla's extend their lead to 2 goals... #ITA 2-0 #TUR. The first goal in EURO 2020 is an own goal from not so Merih Demiral. Italy lead. Immobile pounces on the rebound to put Italy up by two! EURO 2020.</t>
  </si>
  <si>
    <t>Insigne</t>
  </si>
  <si>
    <t>[["class", 0.5], ["cristant", 0.5], ["bryan", 0.5], ["demir", 0.3412149962651658], ["merih", 0.23759872282722352], ["championship", 0.2006459743856519], ["european", 0.19199053673935979]]</t>
  </si>
  <si>
    <t>Bryan Cristante playing a Euro... this is not a real football tournament. Merih Demiral’s own goal is the first time in European Championship history, the opening goal, has been an own goal.. You have to feel for Demiral. 💔. #Demiral #Turkey #Turkiye EURO 2020 EURO 2021.</t>
  </si>
  <si>
    <t>Chiesa for Insigne</t>
  </si>
  <si>
    <t>[["goal", 0.3648088494525381], ["baller", 0.3420094164946661], ["masterclass", 0.3420094164946661], ["class", 0.3420094164946661], ["dey", 0.3420094164946661], ["spinazzola", 0.3420094164946661], ["insign", 0.2801255129902433], ["demir", 0.2332625266262826], ["merih", 0.20130240902748683], ["unfortun", 0.19650025806975543], ["need", 0.19621452021442], ["first", 0.17761035979119089]]</t>
  </si>
  <si>
    <t>I predicted Italy to win by 2-0. But now I need insigne to score. Unwanted history for Merih Demiral, Euro 2020 open with an own goal. It is the first time in Euro history that the opening goal of the tournament is an own goal. 🙃.</t>
  </si>
  <si>
    <t>Belotti for Immobile</t>
  </si>
  <si>
    <t>[["insign", 0.46094328333363455], ["lorenzo", 0.21624135824212218], ["assist", 0.21624135824212218], ["deserv", 0.21624135824212218], ["beauti", 0.21624135824212218], ["itatur", 0.21624135824212218], ["great", 0.21624135824212218], ["class", 0.21624135824212218], ["cakir", 0.21624135824212218], ["small", 0.21624135824212218], ["kabak", 0.21624135824212218], ["belotti", 0.21624135824212218], ["nice", 0.21624135824212218], ["captain", 0.19228809271246128], ["third", 0.1918423962732652], ["done", 0.19158142262486785], ["littl", 0.1897776268338497], ["finish", 0.1811804757179553], ["fantasi", 0.16452998608451438], ["job", 0.10028401427660141], ["rampant", 0.09978386646411994]]</t>
  </si>
  <si>
    <t>I had insigne in my team and captained up until 3 minutes before the game, my captain subbed off, I’m on depression watch. Insigne deserves that goal top player great finish as well 👊. Insigne off, belotti on. immobile off, chiesa on. some depth there.</t>
  </si>
  <si>
    <t>Bernardeschi for Berardi</t>
  </si>
  <si>
    <t>[["finess", 0.6030226891555273], ["chiesa", 0.6030226891555273], ["masterclass", 0.30151134457776363], ["underr", 0.30151134457776363], ["ball", 0.30151134457776363]]</t>
  </si>
  <si>
    <t>Insigne with the finesse shot 🔥 0-3 Italy. This has been a masterclass by the Italians, Jorginho in particular. That finesse is a classic Insigne goal 😂. Ten minutes of chiesa ball to save me. Chiesa. Was waiting for this lad to come on. Mancini ball in 2021 you love to see it.</t>
  </si>
  <si>
    <t>Söyüncü</t>
  </si>
  <si>
    <t>[["underr", 0.5773502691896257], ["finess", 0.5773502691896257], ["histori", 0.25344654691723817], ["championship", 0.2322307845479664], ["goal", 0.23119077582531564], ["first", 0.2308591469799707], ["european", 0.22296301797370474], ["time", 0.1871035626111206], ["score", 0.15395347609115673]]</t>
  </si>
  <si>
    <t>1 - This is the first time in European Championship history that the first goal of the tournament has been an own goal. Unfortunate. EURO 2020 #TURITA. Mancini is such an underrated manager #Italy. Finesse shot. #TURITA. That Insigne Goal Is Fifa 21 Finesse Esque Lol.</t>
  </si>
  <si>
    <t>Dervisoglu</t>
  </si>
  <si>
    <t>[["brilliant", 0.6636208583758312], ["point", 0.3970695624476621], ["assist", 0.3970695624476621], ["captain", 0.3970695624476621], ["jorginho", 0.22868599256637476], ["excel", 0.18524945577605198]]</t>
  </si>
  <si>
    <t>@agbnufc_ 6 points on berardi I'll take it. @FPLReaction Immobile Goal and Assist as my captain I’m happy with that. Immobile goal and assist 6 points babeeeaa 🤪🤪🤪🤪🤪🤪. Jorginho has been excellent. He is a brilliant player to have if your team has a lot of the ball.</t>
  </si>
  <si>
    <t>[["bernardeschi", 0.8164965809277261], ["lorenzo", 0.4082482904638631], ["ever", 0.19819316288003377], ["score", 0.16896231744925036], ["time", 0.1646612540396496], ["first", 0.16012873833451094], ["singl", 0.12935275581086841], ["least", 0.12656506711718943], ["goal", 0.11546635468263802]]</t>
  </si>
  <si>
    <t>Bernardeschi is player I rate but he’s really frustrating at times. Bernardeschi with the only minutes he should be seeing this whole tournament. Bernardeschi speaking after playing the last 6 mins in the first game of the Euro..</t>
  </si>
  <si>
    <t>[["rice", 0.4472135954999579], ["yellow", 0.4472135954999579], ["soyuncu", 0.4472135954999579], ["barella", 0.4472135954999579], ["ciro", 0.29144310369410553], ["immobil", 0.28260463234863337], ["14th", 0.18760474163581425]]</t>
  </si>
  <si>
    <t>@ChelsForLife32 Rice stans trying to explain why Rice is better than Jorginho. Why does Soyuncu have a different name on his shirt? Söyüncü getting the first yellow card of the tournament... #TUR. 🇮🇹 Ciro Immobile celebrates his 14th international goal for Italy ⚽️. EURO 2020.</t>
  </si>
  <si>
    <t>[["histori", 0.8003472250750046], ["goal", 0.5995367539315168]]</t>
  </si>
  <si>
    <t>This is the first time in European Championship history that the opening goal of the tournament has been an own goal. Merih Demiral goes into the history books. EURO 2020. The first goal of Euro 2020 is here! #ITA.</t>
  </si>
  <si>
    <t>[["chiellini", 0.8774246912871045], ["barella", 0.20097883108578254], ["block", 0.20097883108578254], ["defend", 0.16420514421490448], ["class", 0.15702935308220084], ["fuck", 0.15611365587960838], ["sheet", 0.1419002682153043], ["tackl", 0.14060484731352477], ["man", 0.11482898471073508], ["clean", 0.10612841275938366], ["donnarumma", 0.09483440530844335]]</t>
  </si>
  <si>
    <t>Chiellini ya fucking nonce what you blocked it for I need a goal. Chiellini man just let that go in i need the fantasy points. Chiellini wow 👏 what a player how old is he now. What a tackle, Chiellini is one of my favourite defenders in world football.</t>
  </si>
  <si>
    <t>[["demir", 0.5345224838248488], ["great", 0.5345224838248488], ["impress", 0.2672612419124244], ["immobil", 0.2672612419124244], ["bernardeschi", 0.2672612419124244], ["motm", 0.2672612419124244], ["done", 0.2372269282483153], ["sheet", 0.21002999260436983], ["clean", 0.16527544776880745], ["well", 0.12309328146751176]]</t>
  </si>
  <si>
    <t>Final: Italy beat Turkey 3-0 to kick off Euro 2020. 🇮🇹. ⚽️ Demiral (own goal) ⚽️ Immobile. ⚽️ Insigne. Great win for Italy. My picks off to a great start #turita euro 2020. If Bernardeschi can play for Italy on the Euro’s, you can get that girl.</t>
  </si>
  <si>
    <t>[["half", 1.0]]</t>
  </si>
  <si>
    <t>First half. #TURITA EURO 2021. Jorginho what a half. Boring first half #TURITA. Insigne vs Turchia first half time.. 1st Half: #TUR 0 - 0 #ITA.</t>
  </si>
  <si>
    <t>[["demir", 1.0]]</t>
  </si>
  <si>
    <t>Demiral OG gets Italy on the way. Demiral is getting promoted for Juve now. 53’ | GOAL: Turkey 0-1 Italy (Demiral og) Hate it had to be Demiral but I'll take it 😭😭. Demiral value down - the Tottenham way. Not much more that Demiral could do there, great play from Berardi.</t>
  </si>
  <si>
    <t>[["spinazzola", 1.0]]</t>
  </si>
  <si>
    <t>Spinazzola been class. SPINAZZOLA. WHAT A PLAYER. No one picks up Spinazzola. Not there are all match. @Brendan_Dunlop Spinazzola has been fantastic. Immobile goal. Spinazzola involved again.. Loved it.</t>
  </si>
  <si>
    <t>[["finish", 0.7071067811865475], ["belotti", 0.7071067811865475]]</t>
  </si>
  <si>
    <t>What a finish! #ITA. Belotti going to score. My Guy Belotti coming on. Belotti on. Willy up. Belotti and Chiesa are gonna feast on the Turks. That Insigne goal na normal fifa R2 finish 😂😂😂. Na who know know. My word what a finish from Insigne. Joy to watch that lad.</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</si>
  <si>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</si>
  <si>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[["immobil", 0.7071067811865475], ["car", 0.7071067811865475]]</t>
  </si>
  <si>
    <t>Immobile? I sure hope not, he's got a match to play. EURO 2020. That car must be brought into the premiership -the car presentation of the ball was brilliant 👏🏽👏🏽#TURITA. Good job that Grealish wasn't driving that car with the football... #TURITA. Who’s car was that insigne’s 👀😂🤣.</t>
  </si>
  <si>
    <t>[["cakir", 0.7071067811865475], ["header", 0.7071067811865475]]</t>
  </si>
  <si>
    <t>FUCKING HELL CAKIR. What a save from the keeper on Chiellini’s header. Chiellini headers harder than I shoot. What a save from Cakir! Cakir another young player to watch. UGURCAN FUCKING CAKIR. O boi... see header chiellini be things. EURO 2020. Chiellini header just missed!</t>
  </si>
  <si>
    <t>Spinazzola that's it that's the tweet. That was dreadful from Spinazzola. Spinazzola looks good so far! EURO 2020. Spinazzola is a lovely player.</t>
  </si>
  <si>
    <t>[["dive", 1.0]]</t>
  </si>
  <si>
    <t>That fucking Chiellini dive. They like a dive these two #ITATUR. He should be booked for that dive. #TURITA. Is this a diving tournament? #ITA Euro 2021. Watch the dive dey from Yilmaz nah. What a dive from Yilmaz😂. They should’ve carded him for that dive #TURITA.</t>
  </si>
  <si>
    <t>[["rob", 1.0]]</t>
  </si>
  <si>
    <t>They're robbing jorginho from being top scorer😂. W.T.F. Ciro Immobile got robbed 😭😭. Jorginho getting robbed of assists even in the national team. #ITA robbed of a clear Penalty.</t>
  </si>
  <si>
    <t>[["handbal", 1.0]]</t>
  </si>
  <si>
    <t>No handball EUROS 2020 #ITA. Next time Insigne asks for a handball, the referee is going to say that since a valid handball is subjective, that it doesn't really exist.</t>
  </si>
  <si>
    <t>[["demir", 0.7392620702439189], ["assist", 0.5043248420791905], ["juventu", 0.4462600644920794]]</t>
  </si>
  <si>
    <t>Oh god that sucks for demiral but what was he doing. 1-0 to Italy 👀. The first goal of the Euros is a own goal from Demiral. Demiral doing an inside job for Juventus it has to be. Does berardi get the assist for fantasy football? I know he would in fpl but is it the same in this?</t>
  </si>
  <si>
    <t>[["spinazzola", 0.7071067811865475], ["assist", 0.7071067811865475]]</t>
  </si>
  <si>
    <t>Spinazzola, that’s a serious name. Spinazzola is such a cold name. Spinazzola today 🔥. @ULakhi2000 And a Jorginho assist. Surely Berardi gets credited with an assist on fantasy😭. Please Insigne do something...I need my points. Get an assist or goal🤲🏽🤲🏽🤲🏽.</t>
  </si>
  <si>
    <t>[["locatelli", 1.0]]</t>
  </si>
  <si>
    <t>Locatelli🥰. Nice Locatelli. Locatelli show themmmmmmm. @utdrobbo Locatelli isn't bad.</t>
  </si>
  <si>
    <t>[["barella", 0.5], ["deserv", 0.5], ["rebound", 0.5], ["spinazzola", 0.5]]</t>
  </si>
  <si>
    <t>Barella is v v good… does so many good things. Barella needed at my club. Just give the ball to barella. Immobile with a rebound 🤗🤗. Euro 2021. Spinazzola been Italy's best player. Spinazzola and Berardi my fantasy team is cooking. #ITA deserve to be 2 up Euro 2020.</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</si>
  <si>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</si>
  <si>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[["merih", 0.6525403867073435], ["demir", 0.5861253478211302], ["goal", 0.48025838915878394]]</t>
  </si>
  <si>
    <t>The first goal in EURO 2020 is an own goal from not so Merih Demiral. Italy lead. 🇮🇹 Italy make the breakthrough in the opener via a Merih Demiral own goal ⚽️. EURO 2020.</t>
  </si>
  <si>
    <t>[["lorenzo", 0.5], ["deserv", 0.5], ["finish", 0.5], ["littl", 0.3857805649812317], ["man", 0.2258988778078683], ["insign", 0.22392644481594282]]</t>
  </si>
  <si>
    <t>Deserved goal for Insigne. He's been Italy's best player tonight. Lorenzo Insigne with a beautiful lovely finish 😍, 3-0. #ITA EURO 2020. 3-0 Italy. Insigne makes it 3 with a clinical finish, Turkey have been awful!. A sexy goal from man of Naples, Lorenzo Insigne. EURO 2020.</t>
  </si>
  <si>
    <t>[["immobil", 0.7669005365810779], ["belotti", 0.4209340355419552], ["assist", 0.4209340355419552], ["lead", 0.23977623409417087]]</t>
  </si>
  <si>
    <t>Belotti lets go for another goal. Belotti and Keisa are another pandemic for Turkey. Belotti on for Immobile una what year is it. Immobile with a good start to my fantasy. Immobile with a goal and an assist. ITALY LEAD 2-0! 🇮🇹. Ciro Immobile with his first goal of EURO 2020 💥.</t>
  </si>
  <si>
    <t>[["merih", 0.6147096753155216], ["goal", 0.6034837117009678], ["demir", 0.5078773717986552]]</t>
  </si>
  <si>
    <t>✅ The 1st time an own goal has been the opening goal of a European Championships. 😬 An unwanted record for Merih Demiral.. EURO 2020 #TUR #ITA. The first goal in EURO 2020 is an own goal from not so Merih Demiral. Italy lead.</t>
  </si>
  <si>
    <t>[["block", 0.7071067811865475], ["tackl", 0.6067851083303545], ["chiellini", 0.36305899287652954]]</t>
  </si>
  <si>
    <t>Good tackle by Chiellini EURO 2020. Got so much time for chiellini celebrating a block in final minute of a 3-0 win #ITA. @OGBigDadddy Yea I'm liking from what I've seen today could only get better going forward and just by that celebration from Chiellini with a block says it all.</t>
  </si>
  <si>
    <t>[["car", 0.7288294423781237], ["let", 0.4041643749009551], ["remot", 0.3319741260183012], ["control", 0.31613763367233977], ["begin", 0.3087215221103833]]</t>
  </si>
  <si>
    <t>Insigne driving his car to the kick off circle. I want one of those little cars and I want it now! #turita EURO 2020. Loving the huge remote control car delivering the ball! #TURITA Euro 2021. Nice of Insigne to let them use his car to bring out the match ball.</t>
  </si>
  <si>
    <t>[["shouldv", 0.5773502691896256], ["curl", 0.5773502691896256], ["better", 0.37646383506601483], ["gotta", 0.29891247410652994], ["finish", 0.22840387694109734], ["done", 0.22381089348490343]]</t>
  </si>
  <si>
    <t>Insigne gotta finish better than that, but great stuff by the Italians. Insigne should’ve done better there 😬. EURO 2020. Insigne with a fine chance, but his attempt to curl one in fails when he produces absolutely zero actual curl. Chiesa should’ve started imo.</t>
  </si>
  <si>
    <t>[["penalti", 0.5773502691896257], ["cakir", 0.5773502691896257], ["header", 0.5773502691896257]]</t>
  </si>
  <si>
    <t>Immobile needed to look up on that run. 100% not a penalty. What a piece of play! Lovely header and an even better save #Ita #Tur. Chance for Italy. Chiellini with a header on target. #TURITA EURO 2020. (22) - Cheilini with the header from the corner and it's well saved by Cakir.</t>
  </si>
  <si>
    <t>Yilmaz offside more than Morelos fs. Yilmaz is always offside 😭. EURO 2020. Does yilmaz know the offside rule, moving like jesus. Yilmaz is always offside ffs be onside for once and win the ball fgs.</t>
  </si>
  <si>
    <t>Yilmaz diving when he could have squared it. That was a disgusting dive by Yilmaz 😂😂😂 EURO 2020. Burak that was a great dive. Don't do it again. #TUR. Yilmaz should have been booked for that dive #ITATUR. Yilmaz diving after touching the ball 3 times in 45 minutes.</t>
  </si>
  <si>
    <t>[["handbal", 0.5773502691896257], ["penalti", 0.5773502691896257], ["rob", 0.5773502691896257]]</t>
  </si>
  <si>
    <t>Beradi robbed Jorginho of an assist. They're robbing jorginho from being top scorer😂. Two fucking handballs already not called, incredible... #ITATUR European Championship. Italy should be 3-0 up all from penalties Euro 2020 #ITA. Turkey has more handballs than footballs. #TURITA.</t>
  </si>
  <si>
    <t>Chiesa second half needed. Berardi and Locatelli haven’t impressed me so far, big second half needed from both. Need Chiesa later in the second half, cuz I don't know what Berardi is trying to do, but it's not working. Bring on chiesa at the second half pls.</t>
  </si>
  <si>
    <t>[["cengiz", 1.0]]</t>
  </si>
  <si>
    <t>Cengiz Under on. Cengiz Under is on 💪. C'mon Turkey 🇹🇷 🤞🤞. Cengiz Under still exists? Cengiz Under coming on. You just know the next counter against Italy is going to be horrific.... Cengiz is a good sub from Turkey. He can get them up the pitch with his pace #TURITA Euro 2020.</t>
  </si>
  <si>
    <t>Berardi offside from a corner 😂. How did Berardi think he wasn't going to be offside when he was STANDING OFF THE PITCH for the pass?! Berardi absolute clown. How can you be offside there 😂. Wait? You can’t be offside from a corner... #ITATUR. How was that offside 😂 #ITA.</t>
  </si>
  <si>
    <t>[["demir", 0.37796447300922725], ["unlucki", 0.37796447300922725], ["deserv", 0.37796447300922725], ["juventu", 0.37796447300922725], ["kabak", 0.37796447300922725], ["itatur", 0.37796447300922725], ["assist", 0.37796447300922725]]</t>
  </si>
  <si>
    <t>Kabak should have started ahead of this guy that scored the own goal. Poor Demiral, that's such a gutting goal to concede like that. Demiral doing an inside job for Juventus it has to be. Very unlucky on Turkey but in fairness Immobile is there to finish it anyway.</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</si>
  <si>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</si>
  <si>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This spinazzola I like him. Spinazzola has been class tonight. Spinazzola is looking👌🏼. More goals in this for Italy. EURO 2020 #TURITA. Spinazzola today 🔥. Spinazzola having some fun. Spinazzola has been incredible tonight. Spinazzola: Player of the Tournament (so far)</t>
  </si>
  <si>
    <t>[["insign", 0.731549122394488], ["locatelli", 0.5074682779983174], ["car", 0.26357871013379314], ["uber", 0.22162518288987842], ["someon", 0.21486535818996744], ["said", 0.20628438639995902]]</t>
  </si>
  <si>
    <t>Someone said this is insigne’s car 😭😭. Insigne is very stupid. Insigne's Uber EURO 2020. Insigne is so poor. Every Insigne shot is R1 + ⭕️. #TURITA. Insigne is not a serious guy. Locatelli 😍😍 Euros 2021 #ITA. Good or what Insigne. @ochocinco Insigne on ESPN? #Forza.</t>
  </si>
  <si>
    <t>[["chiesa", 0.7171678036171891], ["need", 0.566601319793658], ["berardi", 0.4057502752469576]]</t>
  </si>
  <si>
    <t>Why is Berardi playing over Chiesa. Chiesa needs to replace this berardi. Need Chiesa on. Chiesa for Berardi and it’s 2-0. #ITA. Chiesa is needed. Berardi needs to come off.</t>
  </si>
  <si>
    <t>[["rebound", 0.47872632901995443], ["spinazzola", 0.47872632901995443], ["demir", 0.3031362009461941], ["merih", 0.2734310360195898], ["poacher", 0.23936316450997722], ["movement", 0.23936316450997722], ["deserv", 0.23936316450997722], ["barella", 0.23936316450997722], ["ciro", 0.20746983424632398], ["boot", 0.17069110812422983], ["golden", 0.16780724099857225], ["goal", 0.12633066211463392], ["breakthrough", 0.1235246238108608], ["immobil", 0.11937752050546736]]</t>
  </si>
  <si>
    <t>2-0! The hit man scores again! Immobile na poacher 🔥. No way Demiral has more international open play goals (1) today than Messi has in 3 years.. Immobile puts home a rebound, and that's goodnight from Rome. euro 2020. Spinazzola having a stormer from lb, Italy looking very good.</t>
  </si>
  <si>
    <t>[["mobil", 0.7559289460184544], ["insign", 0.3779644730092272], ["cakir", 0.3779644730092272], ["assist", 0.3779644730092272]]</t>
  </si>
  <si>
    <t>@MaskedBron_ No Cakir has been good, defence sh*t. So Insigne won't get any goal involvement? 🤦🏿‍♂️. Insigne needs to come off , Chiesa should be playing. Immobile? looks pretty mobile to me. Spinazzola for the assist?! Definitely taking that!! Immobile is very mobile 👀 Euro 2020.</t>
  </si>
  <si>
    <t>[["cristant", 0.7071067811865475], ["goal", 0.3743776277610146], ["championship", 0.35918542827963673], ["european", 0.34524568868740535], ["merih", 0.33411470243969865]]</t>
  </si>
  <si>
    <t>Locatelli off! Cristante on 👋🏿. This is the first time in EURO 2020 history that the opening goal of the tournament has been an own goal.. #Ita #Tur Italy Turkey European Championship Merih Demiral. Wait 5 years for a goal in the Euros and it’s an own goal 😂. #ITA 1-0 #TUR.</t>
  </si>
  <si>
    <t>[["ball", 0.8158192352274207], ["jorginho", 0.5783069906485192]]</t>
  </si>
  <si>
    <t>Jorginho is balling. Jorginho balling on the big stage uno. Jorginho balling bruh. Jorginho balling out of his socks. Jorginho balling man. Jorginho dey ball. Bro! Jorginho is really balling. Jorginho balling out. Jorginho really balling for this Italian team.</t>
  </si>
  <si>
    <t>[["insign", 0.3392488666018552], ["deserv", 0.3070262053037215], ["itatur", 0.3070262053037215], ["littl", 0.3070262053037215], ["class", 0.3070262053037215], ["kabak", 0.3070262053037215], ["beauti", 0.3070262053037215], ["chiesa", 0.3070262053037215], ["tri", 0.3070262053037215], ["finish", 0.2622049858850874], ["lorenzo", 0.20847273291063473], ["3rd", 0.13629800282287874]]</t>
  </si>
  <si>
    <t>Italy have been brilliant since the first goal Jorginho and Insigne different class. Insigne really deserved that goal for all the great work he did in the first half. Insigne’s been trying for that all night but that was a lovely finish.</t>
  </si>
  <si>
    <t>[["goal", 0.4472135954999579], ["superb", 0.4472135954999579], ["belotti", 0.4472135954999579], ["baller", 0.4472135954999579], ["chiesa", 0.4472135954999579]]</t>
  </si>
  <si>
    <t>Goal goal goal ooooh what a goal Insigne makes it Italy 3 Turkey 0 #ITATUR. Great performance by #ITA best team I have watched so far, superb euro 2020. Chiesa. Was waiting for this lad to come on. Going 3-0 up and bringing on Chiesa and Belotti😂😂.</t>
  </si>
  <si>
    <t>[["immobil", 0.7071067811865475], ["finish", 0.6025868093696098], ["clinic", 0.3699853202138613]]</t>
  </si>
  <si>
    <t>Italy 3-0 immobile to score 🤞. @mithisa_motho For someone who is immobile... EURO 2020. Italy 2 x 0 Turkey | GOAL! Immobile 😍🎥. Covering goals ➡️ @IFAST90.. What a footballer Immobile! What a player. Insigne with a clinical finish to make it 3:0 for Italy 🔥 #TURITA EURO 2020..</t>
  </si>
  <si>
    <t>[["bernardeschi", 0.8164965809277261], ["assist", 0.4082482904638631], ["ever", 0.2619401336351467], ["score", 0.1633158508787777], ["time", 0.16095226338746196], ["first", 0.15150263561016072], ["singl", 0.1500776006712428]]</t>
  </si>
  <si>
    <t>My man Immobile with a goal and an assist today 🔥🔥. If Bernardeschi can play for Italy on the Euro’s, you can get that girl. Bernardeschi needed three minutes to drop the ball more times than his teammates did in the 90 minutes before.</t>
  </si>
  <si>
    <t>[["chiellini", 0.8364317682371589], ["block", 0.36990303695786336], ["defend", 0.3058946435649883], ["tackl", 0.2645413150554329]]</t>
  </si>
  <si>
    <t>I love Chiellini so much man. Proper old school defender 👌. That’s why Chiellini is one of my all time favourite defenders Euro 2020. That Chiellini block celebration was absolutely beautiful #ITA euro 2020. Chiellini looks like he gets off on tackling😭😭 EURO 2021.</t>
  </si>
  <si>
    <t>[["done", 1.0]]</t>
  </si>
  <si>
    <t>Well-done #Azzurri 😍😍😍. #ITA. Job done. #ITA EURO 2020. 3 goals, 3 points.. Well done Azzurri.. euro 2020 #ITATUR. Well done Italy 🙌👏 #TURITA EURO 2020. Job done, great start to the tournament 💪 🇮🇹 #ITA.</t>
  </si>
  <si>
    <t>[["car", 0.9421928051392245], ["control", 0.2303593542956185], ["rocket", 0.22244137615927742], ["take", 0.09862616288161903]]</t>
  </si>
  <si>
    <t>How cute is it they used Insigne’s wee car to take the ball out for kick off 🤣. Actually love the remote control car carrying the ball to the players #ITA #TUR forza Azzurri! That car must be brought into the premiership -the car presentation of the ball was brilliant 👏🏽👏🏽#TURITA.</t>
  </si>
  <si>
    <t>[["mancini", 0.9043151401729398], ["dress", 0.3506201334735962], ["ball", 0.2434741244094612]]</t>
  </si>
  <si>
    <t>Mancini in that suit. Call it off - that combo should win the euros.. EURO 2020 #Mancini. Andrea Bocelli, Mancini’s jacket, the RC VW carrying the ball… proper Euro-madness to kick off EURO 2020. Mancini wins best dressed already for EURO 2020.</t>
  </si>
  <si>
    <t>[["uber", 0.5901723186473854], ["circl", 0.533533002143768], ["carri", 0.4794170439886659], ["nice", 0.37040311534731557]]</t>
  </si>
  <si>
    <t>It was fucking nice of Insigne to let his Uber carry the football to the centre circle😂.</t>
  </si>
  <si>
    <t>[["insign", 0.920049238668466], ["ff", 0.2797882302749131], ["target", 0.2742771310649287]]</t>
  </si>
  <si>
    <t>Insigne ffs!! How? I got this man to score first ffs 😂. Insigne has to score that. Italy have been class so far. #ITA. Insigne HAS to hit the target right there. Beautiful give go! #ITA. Insigne with a miss post-Liverpool Torres would have been proud of #TURITA.</t>
  </si>
  <si>
    <t>[["offsid", 0.7247703508939954], ["chiellini", 0.47788494376404905], ["save", 0.29391394966174716], ["var", 0.24557088121434334], ["cakir", 0.2303232414526285], ["ref", 0.21585795312942122]]</t>
  </si>
  <si>
    <t>Typical Immobile... pleading to the ref for a penalty... 😒. Jermaine Jenas. “Chiellini left wide open again”. Yes that probably why he was offside 🤷‍♂️🤷‍♂️🤷‍♂️. Chiellini was offside anyways, but a wonderful save by Çakir. Yilmaz has been offside 16 times in 30 mins. Impressive.</t>
  </si>
  <si>
    <t>[["soyuncu", 1.0]]</t>
  </si>
  <si>
    <t>Is soyuncu supposed to be good on the ball. Soyuncu has to stop losing the ball😂. It's good pressing from Italy, but Söyüncü and Demiral not showing what they can do on the ball so far. Soyuncu get out and let my boy Kabak ball.</t>
  </si>
  <si>
    <t>Turkey haven't turned up and look nervous in this half #ITATUR. Insigne a half space demon. #ITA with 65% possession through half an hour. But just 7 touches for Immobile. EURO 2020. A lot of bad decisions in this first half by the Italian team euro 2020 #TURITA.</t>
  </si>
  <si>
    <t>[["immobil", 0.7636035547435853], ["assist", 0.5310664004546953], ["score", 0.36725752475756496]]</t>
  </si>
  <si>
    <t>Why isnt the Italian striker scoring goals? Because he is Immobile. Immobile is 100% scoring today. Immobile getting closer, goals defo coming soon. So close to a Berardi assist. Immobile just robbed me of a berardi assist. Immobile wasting a Berardi assist, thanks a lot.</t>
  </si>
  <si>
    <t>[["pass", 0.8019779659755332], ["donnarumma", 0.4763858149012739], ["insign", 0.36039963575258466]]</t>
  </si>
  <si>
    <t>Turkey's strategy should be just pass it to Yilmaz 😭. Florenzi been watching videos on Masina? Loves an aimless pass down the line. Berardi gotta stop with these flipping chip passes. Insigne with a good attempt, turkish gk with a classic donnarumma save, right into his hands.</t>
  </si>
  <si>
    <t>[["jorginho", 0.5735148597798985], ["chiellini", 0.5429272313686127], ["dive", 0.2908102536917907], ["insid", 0.23552109024607898], ["final", 0.1720683925943388], ["jon", 0.16364041591055398], ["imposs", 0.1592996103064752], ["3rd", 0.15620100758995023], ["cakir", 0.15290634467700448], ["defend", 0.14582474478434923], ["turkish", 0.14553169774808808], ["plumber", 0.1396720309761626], ["keeper", 0.1301609055980398], ["pitch", 0.12524417176052338], ["best", 0.11021878131856637]]</t>
  </si>
  <si>
    <t>Turkey defending, Italy passing hoping to find some space, Immobile finally does but it's fairly easy for Çakir. 0-0 (44) Diving instead of cutting Chiellini inside... he isn't made for the big moments. Jorginho has to be the most boring footballer ever to play the game.</t>
  </si>
  <si>
    <t>The Guardian, BeSoccer, BeSoccer (live), LiveScore, BBC</t>
  </si>
  <si>
    <t>[["half", 0.6483801611960816], ["penalti", 0.362377006610141], ["jorginho", 0.30596033892044644], ["premier", 0.2989955401081619], ["spinazzola", 0.2604855100498161], ["leagu", 0.21366133435133705], ["rob", 0.14513076189078006], ["pen", 0.14513076189078006], ["assist", 0.13179596188459558], ["handbal", 0.12269007433559119], ["ref", 0.11263388265692749], ["play", 0.10764548933630383], ["win", 0.10476001513898049], ["pitch", 0.09810683595511299], ["dread", 0.09433742233380653], ["clars", 0.08988894965936883], ["var", 0.08783330681524348], ["possess", 0.08749525510019134]]</t>
  </si>
  <si>
    <t>Jorginho would have had a hatrick just of penalties if this was the premier league. Jorginho getting robbed of assists even in the national team. Wtf is this ref 💀💀 celik was playing basketball in the box. I just want insigne to get 2 goals this half. Is this too much to ask.</t>
  </si>
  <si>
    <t>[["pitch", 0.5935050067089506], ["jorginho", 0.5711753762499906], ["take", 0.5670189561003143]]</t>
  </si>
  <si>
    <t>Jorginho been the best player on the pitch. #ITA 👏 TAKE 👏 YOUR 👏BLOODY 👏 CHANCES 👏. Take Manuel off and bring on Pessina Italy ⭐️⭐️⭐️⭐️. Mourinho go take Spinazzola worry waaaaa. Take off Donnarumma and replace him with Belotti. Italy don't need a GK.</t>
  </si>
  <si>
    <t>[["pre", 0.6212627158122765], ["park", 0.4393571267989271], ["talk", 0.40676404115664494], ["instead", 0.20605336115486442], ["lita", 0.20605336115486442], ["half", 0.15788077982081802], ["handbal", 0.1476697573393109], ["xhaka", 0.14300823683230537], ["barella", 0.14144156881901282], ["spinazzola", 0.13399243167271982], ["domin", 0.12979916748858147], ["ball", 0.12944956715032233], ["that", 0.1286361015024197], ["jorginho", 0.12381029389850616]]</t>
  </si>
  <si>
    <t>How does a guy named Spinazzola end up becoming a footballer instead of a DJ?😂. EURO 2020. Jorginho doing the work of 2 players blud he's insane. All the pre-match talk about Locatelli and Barella in Italy’s midfield just for Jorginho to be the best player on the park.</t>
  </si>
  <si>
    <t>[["need", 1.0]]</t>
  </si>
  <si>
    <t>I need Chiesa to come on. Insigne desperately needs a Pen lol😭😭😂😂. Italy need to bring Belotti on. Immobile just doesn't offer enough up front when playing for Italy. No need for 3 CMs here. Take locatelli off put an attacker on. Turkey have no interest in scoring here.</t>
  </si>
  <si>
    <t>[["sub", 1.0]]</t>
  </si>
  <si>
    <t>They subbed off Yazici??? yeah they aren't scoring now lol. Fuck fuck fuck yusuf yazici subbed off fuck go fuck yourself Turkey. 99 pace under is coming on. Good sub.#ITATUR. Why is Di Lorenzo subbed in. WHY DID HE SUB OUT FLORENZI. Cengiz Under good sub from Turkey.</t>
  </si>
  <si>
    <t>[["offsid", 0.9451774477053672], ["corner", 0.32655718082621876]]</t>
  </si>
  <si>
    <t>Berardi absolute clown. How can you be offside there 😂. Well that is one of the most stupid ways of getting offside I've ever seen. #TURITA. The ball didn’t go forward? So it’s not offside? #ITA euro 2020. You can’t be offside from a corner! euro 2020 #ITA.</t>
  </si>
  <si>
    <t>[["demir", 0.8607143954255002], ["goal", 0.4106410237536429], ["locatelli", 0.23313657836667334], ["gol", 0.10983647857687195], ["defend", 0.10983647857687195], ["lead", 0.1098358361056187]]</t>
  </si>
  <si>
    <t>Was praising demiral 😭. finally a goal to set the deserved leaders up. Demiral been clarse all game by why is he trying to defend that with his chest. That goal was started by a beautiful ball in behind the lines by Locatelli, Berardi did well and Demiral couldnt do much about it.</t>
  </si>
  <si>
    <t>[["demir", 0.4786511040838529], ["merih", 0.418994168888637], ["deserv", 0.3936184651405993], ["goal", 0.3875248285413437], ["net", 0.2537468991979151], ["spinazzola", 0.22527160338413327], ["juventu", 0.22516353304845294], ["juve", 0.22206061502570476], ["berardi", 0.19610963431370515], ["player", 0.19137061421770982]]</t>
  </si>
  <si>
    <t>A Juventus player (Demiral) scores a goal, but it's not for his home country. It's an own goal and Italy lead. Italy 1-0 Turkey. 🔥🔥💪💪💙💙At least Juve players know what justice is... thanks Demiral... you are a real Juve player 🖤🤍.</t>
  </si>
  <si>
    <t>[["insign", 0.5184995672782924], ["cross", 0.43376639553508106], ["initali", 0.42127889037274924], ["deflect", 0.3919934847438076], ["strike", 0.25606907518138583], ["need", 0.2119033244279847], ["confus", 0.15012352512064658], ["pitch", 0.14272746183940113], ["juventu", 0.12520993675336703], ["best", 0.1239629848030536], ["happen", 0.118128600918521], ["teammat", 0.11614133518156997]]</t>
  </si>
  <si>
    <t>Demiral got confused seeing his Juventus teammates on the pitch. Happens to the best. Please Insigne do something...I need my points. Get an assist or goal🤲🏽🤲🏽🤲🏽. Insigne cuts in and tries to curl one, this time it takes a deflection over. 0-1 (57)</t>
  </si>
  <si>
    <t>[["shot", 0.8891341158517417], ["breakthrough", 0.4576467240443676]]</t>
  </si>
  <si>
    <t>Insigne shot. Locatelli just had a shot…. surely that just shows turkey are not dark horses. Chiellini shot. 14 shots later, #ITA finally open the scoring in EURO 2020.. 🇮🇹 Italy make the breakthrough in the opener via a Merih Demiral own goal ⚽️. EURO 2020.</t>
  </si>
  <si>
    <t>[["chiesa", 0.6581720614061766], ["berardi", 0.6180498822131141], ["pass", 0.42991148005223095]]</t>
  </si>
  <si>
    <t>#Berardi should remember that it’s not playing with Sassuolo and he need to pass as well Italy Turkey. Seriously sub berardi off for chiesa or for no one, he’s shit. The one time Berardi chooses to pass it leads to a goal😂. Take off Berardi and bring on Chiesa #ITA EURO 2020.</t>
  </si>
  <si>
    <t>[["lorenzo", 0.7380243423001359], ["next", 0.5081331983198443], ["sub", 0.4439827957676934]]</t>
  </si>
  <si>
    <t>Italy's next sub warming up #TURITA. The impact Di Lorenzo has had since half time is crazy????? Always providing an option!!! The energy and dynamism di lorenzo has brought on that right flank. Needed. Di lorenzo needs to start in the next game. Why is Chiesa not subbed in yet ?</t>
  </si>
  <si>
    <t>[["lead", 0.5888670980173166], ["scene", 0.5845686265644677], ["immobil", 0.47548390290138], ["gol", 0.29228431328223387]]</t>
  </si>
  <si>
    <t>Personally think Jorginho should be leading the goalscoring table with that handball. Immobile to score a few this tournament calling it now. Very very surprised that Immobile isn’t one of the strikers that we are looking at. He grantees you goals no matter what.</t>
  </si>
  <si>
    <t>[["immobil", 0.7672047779349079], ["move", 0.2857295802010881], ["barella", 0.259335322375096], ["turkish", 0.25045388198013047], ["bestyouunfollowmenowtbh", 0.2414636572693545], ["spinazzola", 0.1946865149611028], ["didnt", 0.19126722779176172], ["save", 0.18574492538591028], ["cakir", 0.16089384490569106], ["defend", 0.08120827131367042]]</t>
  </si>
  <si>
    <t>Immobile scores the second and it's game, set and match. euro 2020. Cakir obviously won’t like conceding but what a first save that was on the deflection👀. #Turkey #Italy. The turkish defenders didn’t move, it was almost as if they were immobile...</t>
  </si>
  <si>
    <t>[["footbal", 0.5750917809324794], ["time", 0.5601444802121289], ["cruis", 0.44306627102963947], ["full", 0.39899860183675234]]</t>
  </si>
  <si>
    <t>Letting someone like Mancini waste his time in international football is mad. I hate football Football 😶. #TURITA. The irony of having a footballer player called Immobile who is surprisingly very mobile Euro 2021. Italy cruise into a 2️⃣➖0️⃣ lead 🛵 #ITA.</t>
  </si>
  <si>
    <t>[["lead", 0.6401189428769368], ["fire", 0.6401015759129188], ["ciro", 0.4248737594673395]]</t>
  </si>
  <si>
    <t>I really, really hope the Lazio stadium DJ plays La donna e mobile whenever Ciro Immobile scores. 2-0 Italy. Ciro Immobile doubles the lead!. ITALY LEAD 2-0! 🇮🇹. Ciro Immobile with his first goal of EURO 2020 💥. 📸 Immobile fires in second for Italy against Turkey ⚽️. EURO 2020.</t>
  </si>
  <si>
    <t>[["14th", 0.9262159278531592], ["locatelli", 0.3769934415757272]]</t>
  </si>
  <si>
    <t>Locatelli, what a player. Locatelli - De Paul - Partey. Midfield goes from ass to class. I'm on my knees Arsenal. Locatelli is a quality player. How dare Mancini take off Locatelli 😂. 🇮🇹 Ciro Immobile celebrates his 14th international goal for Italy ⚽️. EURO 2020.</t>
  </si>
  <si>
    <t>[["jorginho", 0.942364885314528], ["regista", 0.3345869437472667]]</t>
  </si>
  <si>
    <t>How the fuck do you get Verratti back into this XI? Jorginho's been class. What version of jorginho is this?!! 👀😲🙆... He's playing too many forward passes 😭😭😭. Jorginho is a great player, dunno who needs to hear this. Jorginho balling in midfield, things you love to see.</t>
  </si>
  <si>
    <t>[["insign", 0.716363466872146], ["gol", 0.5069478415775114], ["spinazzola", 0.3332173194377016], ["pitch", 0.22362505395299828], ["win", 0.19958540829823604], ["final", 0.17014989661037072]]</t>
  </si>
  <si>
    <t>Spinazzola and Immobile are the only players playing football tonight. Fam these man have to take insigne off set pieces. If Italy will win the euros insigne surely should win the ballon d'or right?!?!?!?!?!?!?!? Took Insigne like 6 attempts at the same finish to finally score it.</t>
  </si>
  <si>
    <t>[["insign", 0.7534767942577076], ["keeper", 0.4630850693180597], ["pass", 0.3166349387798923], ["finess", 0.30986170089716003], ["defend", 0.14680933536661944]]</t>
  </si>
  <si>
    <t>Insigne needed to score after all the short jokes 😭 happy for the guy. Insigne showing us that he has the finesse shot trait. 3-0. Insigne gets his deserved goal. The Turkey keeper with a brilliant pass to start the move and it ends up in a simple finish.</t>
  </si>
  <si>
    <t>[["jorginho", 0.5627192927015302], ["seen", 0.27697113217746133], ["chiesa", 0.2723068708547841], ["champion", 0.2643562973531905], ["ive", 0.2544363706715349], ["enough", 0.2510640395600395], ["sub", 0.24288787693087371], ["footbal", 0.24068738105579782], ["well", 0.220791440983538], ["carri", 0.15256698238831637], ["good", 0.14079063425287464], ["form", 0.13041694155013905], ["win", 0.12445548531125467], ["deadars", 0.12352517451742225], ["nut", 0.12275516907679222], ["nah", 0.12233515111118325], ["espn", 0.12133831168347466], ["treat", 0.10931151842502651], ["that", 0.10636340611266107], ["first", 0.1013858944566761]]</t>
  </si>
  <si>
    <t>We just casually sub in chiesa and belotti😂😂😂 love it. We’re winning the European Championship Italy ⭐️⭐️⭐️⭐️. Jorginho looks absolutely crazy in this Italy team and whenever I see him play international football. The pace suits him a lot man.</t>
  </si>
  <si>
    <t>[["curl", 0.6580706453335861], ["lorenzo", 0.5252097091720432], ["corner", 0.3437399148268636], ["uber", 0.24625142569133135], ["possess", 0.2000384071782756], ["leagu", 0.19208698390198845], ["insign", 0.188117303059762]]</t>
  </si>
  <si>
    <t>Immobile for Lazio: 177 games. 123 goals. 33 assists. All league #ITA. Insigne gave out his car to deliver the ball. Insigne's Uber had more ball possession than Turkey. Lorenzo Insigne curling the ball into the far corner first time. Clean 😎.</t>
  </si>
  <si>
    <t>[["bernardeschi", 0.8531695448691141], ["barella", 0.5216337102870446]]</t>
  </si>
  <si>
    <t>Barella is always on the ball. Incredible player. Bernardeschi is so bad I can’t take it. Bernardeschi is by far the worst player on #ITA. If Bernardeschi can play football at a professional level you can be anything you want. Barella broken tibia? A win in my book.</t>
  </si>
  <si>
    <t>[["lose", 0.6082789276888823], ["manag", 0.5297789049853456], ["jorginho", 0.4840829856514429], ["barella", 0.2566618741839107], ["prop", 0.22162897668260578]]</t>
  </si>
  <si>
    <t>In Football Manager Italy lose this game 1-0 #TURITA. Jorginho prop, finally. Barella broken tibia? A win in my book. Jorginho and Barella absolutely class controlling the tempo of the game from the midfield in this game. Brilliant football.</t>
  </si>
  <si>
    <t>[["chiellini", 0.8203916317694427], ["first", 0.22412972983720922], ["time", 0.22383663741680396], ["eas", 0.17605552509686065], ["defend", 0.17401827104661513], ["three", 0.1716732250933414], ["tackl", 0.1639105417222844], ["delight", 0.16331498635070826], ["game", 0.1356315369538438], ["worst", 0.1327781530401134], ["nico", 0.12904864321935458], ["feet", 0.12816244193158008], ["spinazzola", 0.11501054583090528]]</t>
  </si>
  <si>
    <t>All those years of experience from chiellini there, what a tackle. Chiellini taking goal kicks is exactly the sort of thing the Euros is all about. Chiellini at 50 is more agile than our in prime defenders 😭😭. Chiellini wow 👏 what a player how old is he now.</t>
  </si>
  <si>
    <t>[["kebabi", 0.8023805150094374], ["cook", 0.4497346688144082], ["jorginho", 0.3923317942756926]]</t>
  </si>
  <si>
    <t>Weldone to Italy ⭐️⭐️⭐️⭐️ #ITA. This also goes to Our Chelsea player JORGINHOOO. Turkey vs Italia. 0-3. Euro 2020. Burak Yilmaz vs Italie | 11/06/21 | Euro 2021 | Skills and Highlight | The best Kebabier in the world 🔥🔥🔥. Jorginho was cooking tonight, star player.</t>
  </si>
  <si>
    <t>[["bounucci", 0.44927311144840065], ["footbal", 0.2639486039837823], ["play", 0.2639486039837823], ["chiellini", 0.2639486039837823], ["rocket", 0.2639486039837823], ["underway", 0.2639486039837823], ["ball", 0.2639486039837823], ["like", 0.24909631465524804], ["win", 0.24159980632557435], ["overtak", 0.2369661250707688], ["car", 0.23249610942928095], ["azzuri", 0.22907510312545432], ["tough", 0.22787553051134607], ["berardi", 0.2123934840328067]]</t>
  </si>
  <si>
    <t>How are Chiellini and Bounucci still playing football. Berardi about to overtake Messi by winning an international trophy!! EURO 2020. #ITA. It will be a tough game for azzuri but they will win it... Did you see that little VW car to take the ball out 🤣. EURO 2020. #ita.</t>
  </si>
  <si>
    <t>[["insign", 0.7408567840126208], ["score", 0.6716630297868693]]</t>
  </si>
  <si>
    <t>Insigne shouldve scored. Insigne should be scoring that. EURO 2020 #TURITA Just score already, Italy. Insigne wan score television goal. Mertens would have scored that. Insigne you bum. Insigne really should’ve scored there. Insigne wanted to recreate that ADP’s goal.</t>
  </si>
  <si>
    <t>[["cakir", 0.9398321291039994], ["save", 0.3416366038700236]]</t>
  </si>
  <si>
    <t>What a save Cakir👏👏. WHAT A SAVE CAKIR BRING HIM TO THE BRIDGE. What a save Cakir!! Signed Cakir on my FM save. Visionary. What a save by Cakir! Awful marking by Turkey aswell. What a fucking save Cakir. Fantastic save by U Cakir.... Chiellini almost finds the net from a corner.</t>
  </si>
  <si>
    <t>[["half", 0.8834155802193638], ["insign", 0.468590346278799]]</t>
  </si>
  <si>
    <t>Things will open up in the second half. #TURITA. I’ve seen enough Berardi. Chiesa a after half time. For a spark. #TURITA half-time summary: Minus points: Meh. Plus points: Footy! Lorenzo Insigne is 5ft 3ins! Insigne in this first half.... Jorginho what a half.</t>
  </si>
  <si>
    <t>[["penalti", 0.37709610527497955], ["ball", 0.37709568646268643], ["player", 0.36060144661414506], ["spinazzola", 0.35878519965161076], ["ref", 0.35587476933203155], ["hand", 0.343188132422008], ["jorginho", 0.3294110979102125], ["chiellini", 0.32233605249734726]]</t>
  </si>
  <si>
    <t>Giorgio Chiellini is everything you could want from a national team player.. Spinazzola looks a good player. What a ball from jorginho. No penalty?!? What a joke. #ITATUR euro 2020. But it touched his hand ☹️ #TURITA. Am loving the REF. #TURITA. euro 2020.</t>
  </si>
  <si>
    <t>[["imagin", 0.46780660122893425], ["handbal", 0.46780660122893425], ["shock", 0.46091446315495266], ["take", 0.4574295385630799], ["jorginho", 0.3750067234034814]]</t>
  </si>
  <si>
    <t>Jorginho the best player imagine my shock. Spinazzola the only one brave enough to take defenders on 🤦‍♂️ Chiesa on at halftime and this game ends 2-0. Personally think Jorginho should be leading the goalscoring table with that handball.</t>
  </si>
  <si>
    <t>[["need", 0.6266534860581418], ["dive", 0.34833863887957217], ["refere", 0.33082143738573144], ["laugh", 0.32642147838241925], ["pad", 0.3032988089163943], ["nay", 0.29831328213916003], ["bu", 0.29831328213916003]]</t>
  </si>
  <si>
    <t>Still 0:0. Naye Turkey’s Bus 🚎 is making the game boring #ITATUR #VAR😳😳😳??? Jorginho's their pen taker right? Don't want immobile to stat pad after this no show. When a dive's so bad the Italians laugh at you. #TUR #ITA. Chiesa needed in the 2nd half.</t>
  </si>
  <si>
    <t>[["sub", 0.5089207759950196], ["cengiz", 0.5089207759950196], ["highlight", 0.5089207759950196], ["florenzi", 0.4722276265551194]]</t>
  </si>
  <si>
    <t>Di Lorenzo for Florenzi is a good sub, hopefully this will allow Barella to play more inside and actually affect the game like he should. Florenzi ein sub be tactical? Cengiz Under good sub from Turkey. Berardi first half highlights!! Better than Rashford?.</t>
  </si>
  <si>
    <t>[["goal", 0.7263821306787277], ["ill", 0.39680767811398315], ["net", 0.39680767811398315], ["demir", 0.39680767811398315]]</t>
  </si>
  <si>
    <t>Who had 'own goal' as the first goal of Euro 2020?! 😬 #TURITA euro 2020. Demiral scores an own goal 😁 Euro 2020. Own goal. Damn Demiral. 1st goal of Euro 2020. I’ll take an own goal lol 💚🤍❤️ 1-0 #ita. GOAAAL! 1-0 ITALY! Merih Demiral puts it into his own net. Euro 2020.</t>
  </si>
  <si>
    <t>[["settl", 0.7623959234759725], ["goal", 0.45757647222470854], ["lead", 0.45757647222470854]]</t>
  </si>
  <si>
    <t>That's the goal we needed for the natural. Means turkey have to open up #TURITA. #ITATUR OWN GOAL FROM DEMIRAL!!!!!! #ITA LEAD 1-0. Great pass from Locatelli leading up to the goal btw, my main target this summer (probably would never join tho) Need Immobile to settle this.</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</si>
  <si>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</si>
  <si>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[["deflect", 0.3435748511413451], ["initali", 0.3435748511413451], ["livefpl", 0.3435748511413451], ["pt", 0.3317854785180046], ["insign", 0.3204704583234503], ["armband", 0.3156672295423813], ["equalis", 0.30495371355216716], ["shot", 0.2895594990300667], ["score", 0.2804284785636909], ["berardi", 0.2792107524645757]]</t>
  </si>
  <si>
    <t>Insigne i needed you to score that. Berardi's cross deflects in—Italy strike first at EURO 2020. Absolute scenes here when turkey equalise with their first shot #TURITA euro 2020. Berardi ptsss, get yourself a goal now buddy. Insigne take a shot without holding R1 challenge.</t>
  </si>
  <si>
    <t>[["player", 1.0]]</t>
  </si>
  <si>
    <t>Italy’s Domenico Berardi… looks like a player to watch out for in this tournament Uefa Euro 2020. Barella what a player. Cengiz Under is the only player of Turkey that wants to win. Jorginho is the best player on the pitch. SPINAZZOLA. WHAT A PLAYER. Proper player that Immobile⚽️.</t>
  </si>
  <si>
    <t>[["scene", 0.9578796810752545], ["lead", 0.287169839264448]]</t>
  </si>
  <si>
    <t>Is Merih Demiral currently in the lead for the golden boot? EURO 2020. 🇮🇹 Scenes after Italy take lead in the Group A opener against Turkey! ⚽️. #ITA EURO 2020.</t>
  </si>
  <si>
    <t>[["immobil", 0.8799644917400115], ["spinazzola", 0.4750394649676415]]</t>
  </si>
  <si>
    <t>Was thinking earlier Immobile might score a lot this campaign. GOAL NUMBER 2. IMMOBILE. Immobile. Goooooooooal. Real poacher goal from immobile. Doing nothing whole game but being in the right position. Immobile scores. SPINAZZOLA. WHAT A PLAYER. Proper player that Immobile⚽️.</t>
  </si>
  <si>
    <t>[["name", 1.0]]</t>
  </si>
  <si>
    <t>“Immobile” is a funny name for a footballer. Ciro Immobile is one of the GOAT football names by the way.</t>
  </si>
  <si>
    <t>[["lead", 1.0]]</t>
  </si>
  <si>
    <t>Italy lead 0-2 after Immobile scores his first of the tournament from close range. ITALY LEAD 2-0! 🇮🇹. Ciro Immobile with his first goal of EURO 2020 💥.</t>
  </si>
  <si>
    <t>[["14th", 1.0]]</t>
  </si>
  <si>
    <t>🇮🇹 Ciro Immobile celebrates his 14th international goal for Italy ⚽️. EURO 2020.</t>
  </si>
  <si>
    <t>[["insign", 1.0]]</t>
  </si>
  <si>
    <t>What a goal Insigne. It’s about time Insigne scored 👏🏾. Seconds later insigne scores 🤦‍♂️ #TURITA. Lorenzo Insigne is so so so good with the bend chale herh!. What a goal. Insigne finally did it. Detty that net Insigneee. Immobile assist. Insigne…. 🤩🤩 🔥 what a footballer.</t>
  </si>
  <si>
    <t>[["pli", 0.6439832728998902], ["chiesa", 0.35654517122896195], ["half", 0.34563358662857085], ["take", 0.3434209287722049], ["alo", 0.3406709995986923], ["realiz", 0.3235797345421837]]</t>
  </si>
  <si>
    <t>Berardi in the second half. Chiesa on 🤩. Finally. Aloooo immobile sub off ☹️. Chiesa. I need goal plis. Just realized how had missed football after that Insigne goal 🤧. 🇮🇹 Scenes after Italy take lead in the Group A opener against Turkey! ⚽️. #ITA EURO 2020.</t>
  </si>
  <si>
    <t>[["barrag", 0.6296310530202182], ["love", 0.5507941629715275], ["that", 0.5478964565583041]]</t>
  </si>
  <si>
    <t>Italy now getting goals. After their first half barrage. #ITATUR. Always rated Insigne. Waiting for Mertens to ball with Belgium as well. Love to watch these two play good football. The midgets. ”Thats why we love football” #ITA.</t>
  </si>
  <si>
    <t>[["curl", 1.0]]</t>
  </si>
  <si>
    <t>Lorenzo Insigne curling the ball into the far corner first time. Clean 😎.</t>
  </si>
  <si>
    <t>[["bernardeschi", 0.480826899544833], ["number", 0.47775724233260425], ["great", 0.45257396981056697], ["worst", 0.4152285741450813], ["yellow", 0.40412317817244187]]</t>
  </si>
  <si>
    <t>Barella's a great player Euro 2020. Bernardeschi is by far the worst player on #ITA. First Yellow in the Tournament for Turkey 🇹🇷. Leicester City 🏆 Soyuncu takes it. Day number 1 of the Euro, win number 1 for Italy. EURO 2020 #ITA.</t>
  </si>
  <si>
    <t>[["assist", 0.6076078467841748], ["game", 0.32654097224481893], ["three", 0.32654097224481893], ["tackl", 0.32654097224481893], ["lorenzo", 0.29236148757992086], ["chiellini", 0.2864279389700204], ["blassic", 0.2737868767481075], ["first", 0.2616299435089239]]</t>
  </si>
  <si>
    <t>Another Jorginho blassic, wish he was a Utd player. 🇮🇹 Italy score THREE in a EURO game for the first time! ⚽️⚽️⚽️. #ITA EURO 2020. Chiellini celebrating a tackle 3-0 up. Love to see it. Lorenzo Insigne’s last 12 games for Italy: Goals: 5 ⚽️. Assists: 7 🎯. EURO 2020 #ITA.</t>
  </si>
  <si>
    <t>[["eas", 0.4725422311919417], ["colney", 0.4725422311919417], ["slide", 0.4725422311919417], ["would", 0.42199293755136846], ["chiellini", 0.38991470846480164]]</t>
  </si>
  <si>
    <t>Would take Mancini at Colney js. 28 matches unbeaten. Eased to a 3-0 win on the opening day of EURO 2020. #ITA are all business.. Never seen a player celebrating a goal saving sliding tackle. Chiellini, ladies and gentlemen. What a player! #ITATUR Euro 2021.</t>
  </si>
  <si>
    <t>[["control", 0.5706352788513498], ["footbal", 0.5319595915771476], ["car", 0.5088286308547599], ["realli", 0.3639887304323953]]</t>
  </si>
  <si>
    <t>Football is really back. EURO 2020. #TURITA. What is the point of having a toy car bringing a football on the pitch?! 😂😂 #TURITA EURO 2020. FOOTBALL!! #TUR #ITA. The ball in a remote control car 🤣🤣🤣🤣🤣🤣 EURO 2020 #TURITA. Stadio Olimpico is a Proper Football Stadium.</t>
  </si>
  <si>
    <t>Unreal save to deny Chiellini. EURO 2020. What a save from Cakir! What a header by Chiellini, but what a save by the goalkeeper. What a save that was #TURITA. What a save that is #ITATUR EURO 2020. Too too save #TUR #ITA. The save from the keeper was impressive EURO 2020 #TURITA.</t>
  </si>
  <si>
    <t>They like a dive these two #ITATUR. He should be booked for that dive. #TURITA. Is this a diving tournament? #ITA Euro 2021. That dive from yilmaz 😭😭😭. Chiellini is actually embarrassing with his dives. You’re 46 man. Grow up. Chiellini trying to draw calls with horrible dives.</t>
  </si>
  <si>
    <t>[["penalti", 1.0]]</t>
  </si>
  <si>
    <t>Jorginho penalty coming up! Geen penalty? #itatur. WTF! This is a 100% penalty! #TURITA EK 2020. Italy should be 3-0 up all from penalties Euro 2020 #ITA. Is that supposed to be a penalty??? No!!! #TURITA euro 2020. What that's new rule about handballs and penalties ? #ITATUR.</t>
  </si>
  <si>
    <t>[["handbal", 0.8895694241979191], ["take", 0.45679999948794087]]</t>
  </si>
  <si>
    <t>What that's new rule about handballs and penalties ? #ITATUR. Could’ve had a couple handball calls but happy with the start #ITA - #TUR happy to take a point and run. Good refereeing, none of those handball shouts should have been given. #TURITA EURO 2020.</t>
  </si>
  <si>
    <t>[["refere", 0.44097664512890267], ["pre", 0.4313697899654683], ["pen", 0.4208379755009801], ["talk", 0.404777410494211], ["park", 0.39085886172706036], ["barella", 0.35459794034267855]]</t>
  </si>
  <si>
    <t>Didn't know Bocelli was the referee as well. #ITATUR #ITA. No VAR? #ITA should of had a pen there 👀 euro 2020. All the pre-match talk about Locatelli and Barella in Italy’s midfield just for Jorginho to be the best player on the park.</t>
  </si>
  <si>
    <t>Wow. Berardi has actually managed to be called offside DIRECTLY from a corner kick🤣🤣🤣🤣 #TURITA. Since when has it been possible to be offside from a corner? #ITATUR. You can’t be offside from a corner! euro 2020 #ITA. Offside from a corner?!#TURITA EURO 2020.</t>
  </si>
  <si>
    <t>[["demir", 0.7160083405652641], ["goal", 0.44405499264255693], ["need", 0.37167897202487127], ["take", 0.24316243802958398], ["final", 0.23481138704252222], ["merih", 0.19426168626727697]]</t>
  </si>
  <si>
    <t>1-0 to Italy 👀. The first goal of the Euros is a own goal from Demiral. Finally the deadline is broken through an OG. #ITA take a well deserved lead. Euro 2020. Locatelli, wow. I do really like him, just think he is too similar to Rodri. We need a more mobile DM.</t>
  </si>
  <si>
    <t>[["demir", 0.5195911092989005], ["juventu", 0.4907925633531387], ["merih", 0.3900148876405475], ["player", 0.36776282552070805], ["cross", 0.31826282622474206], ["goal", 0.31701010066240726]]</t>
  </si>
  <si>
    <t>🔥🔥💪💪💙💙At least Juve players know what justice is... thanks Demiral... you are a real Juve player 🖤🤍. A Juventus player scores an own goal vs #ITA !!! A goal nonetheless… Euro 2020. Italy lead 1-0 to Turkey because Juventus defender own goal, Merih Demiral. EURO 2020.</t>
  </si>
  <si>
    <t>[["initali", 0.6538421364400152], ["deflect", 0.548607783017934], ["strike", 0.5210757728274306]]</t>
  </si>
  <si>
    <t>Berardi's cross deflects in—Italy strike first at EURO 2020. Own goal. The Turkish defender Merih Demiral deflects Domenico Berardi's cross into his own net. Italy take the lead. 0-1. Insigne cuts in and tries to curl one, this time it takes a deflection over. 0-1 (57)</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</si>
  <si>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</si>
  <si>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[["breakthrough", 1.0]]</t>
  </si>
  <si>
    <t>🇮🇹 Italy make the breakthrough in the opener via a Merih Demiral own goal ⚽️. EURO 2020.</t>
  </si>
  <si>
    <t>[["immobil", 0.9248640342747569], ["gol", 0.18975440577526392], ["spinazzola", 0.18975440577526392], ["barella", 0.15691996818913054], ["exactli", 0.14103689795198704], ["player", 0.12248782232726968], ["lead", 0.11443119969615147]]</t>
  </si>
  <si>
    <t>Immobile will win golden boot and best player btw. 2-0! The hit man scores again! Immobile na poacher 🔥. Immobileeeeee Spinazzola assist ffsss doesnt have both in my team. Immobile with the goal from rebound and Italy is leading 2-0! EURO 2020.</t>
  </si>
  <si>
    <t>[["second", 0.7036574244375728], ["goal", 0.6328847336857439], ["insign", 0.3229909331566543]]</t>
  </si>
  <si>
    <t>Lovely move building up to that second goal. EURO 2020 #TURITA. Immobile with the second goal. Italy 2-0. Insigne goal needed. Serie A players domination in EURO 2020 first demiral second immoblie. A much better second half from Berardi. He has had a hand in both goals.</t>
  </si>
  <si>
    <t>[["second", 0.6016271567858356], ["lead", 0.4752420738850532], ["ciro", 0.46213512793271094], ["fire", 0.4456690015671298]]</t>
  </si>
  <si>
    <t>ITALY LEAD 2-0! 🇮🇹. Ciro Immobile with his first goal of EURO 2020 💥. Berardi turned it around this second half. 📸 Immobile fires in second for Italy against Turkey ⚽️. EURO 2020. Jorginho really reads the game well man. That’s 3 interceptions in 30 seconds.</t>
  </si>
  <si>
    <t>[["insign", 0.9195495223942068], ["final", 0.2876135423630216], ["gol", 0.2218659201120521], ["footbal", 0.14994212085605962]]</t>
  </si>
  <si>
    <t>Fam these man have to take insigne off set pieces. Stating the obvious but Insigne is such a lovely player. Goal 3! #Insigne makes up for the 1st half misses. Insigne been trying that all game good job for him its finally worked😭😭.</t>
  </si>
  <si>
    <t>[["chiesa", 0.8192220452879442], ["win", 0.5734764515777762]]</t>
  </si>
  <si>
    <t>Chiesa on 🤩. Finally. Chiesa na belloti off the bench... Italy are winning this. Win vs free #TURITA. We just casually sub in chiesa and belotti😂😂😂 love it. We’re winning the European Championship Italy ⭐️⭐️⭐️⭐️. Jorginho Ballon d'Or when Italy win the whole thing...</t>
  </si>
  <si>
    <t>[["seen", 0.47310063953556036], ["footbal", 0.4282061829210208], ["chiesa", 0.4197136170463725], ["motm", 0.38534646489626423], ["liat", 0.3831956443041838], ["worst", 0.34831728298113174]]</t>
  </si>
  <si>
    <t>Liat italy kaya liat city pas era mancini, attacking football at it finest❤️. What a footballer Immobile! What a player. Didn't know Chiesa was the son of the other Chiesa. A Football Italia legend. Kebab is not football and is the worst food I ever seen. Bizim Cocuklar #tur.</t>
  </si>
  <si>
    <t>[["curl", 0.8549997944523197], ["possess", 0.3684836839169969], ["uber", 0.30775708131070617], ["insign", 0.14949496844345025], ["lorenzo", 0.1270116509878418]]</t>
  </si>
  <si>
    <t>Insigne scored then sent his card to go bring the ball. Insigne gave out his car to deliver the ball. Insigne's Uber had more ball possession than Turkey. Lorenzo Insigne curling the ball into the far corner first time. Clean 😎.</t>
  </si>
  <si>
    <t>[["assist", 0.455178163912885], ["score", 0.4371938876404201], ["time", 0.4224031858195599], ["three", 0.34667109039120597], ["lorenzo", 0.31075419954215], ["game", 0.29681733021348494], ["first", 0.2469512801418431], ["insign", 0.2396151343120272]]</t>
  </si>
  <si>
    <t>Thank fuck, almost lost 8 points on my fantasy if Yilmaz scored. Lorenzo Insigne’s last 12 games for Italy: Goals: 5 ⚽️. Assists: 7 🎯. EURO 2020 #ITA. Insigne scoring. EURO 2020. 🇮🇹 Italy score THREE in a EURO game for the first time! ⚽️⚽️⚽️. #ITA EURO 2020.</t>
  </si>
  <si>
    <t>[["chiellini", 0.6633888473475771], ["tackl", 0.6022757359265848], ["eas", 0.37771127189257925], ["goal", 0.23348098469518652]]</t>
  </si>
  <si>
    <t>All those years of experience from chiellini there, what a tackle. You son of a gun Chiellini... Good tackle though ffs. I love how chiellini celebrates a tackle like a goal. 28 matches unbeaten. Eased to a 3-0 win on the opening day of EURO 2020. #ITA are all business..</t>
  </si>
  <si>
    <t>[["car", 1.0]]</t>
  </si>
  <si>
    <t>Why did they use Insigne’s car to bring the ball on the pitch? Why not have a real car take the ball to the centre? #TURITA. That car must be brought into the premiership -the car presentation of the ball was brilliant 👏🏽👏🏽#TURITA.</t>
  </si>
  <si>
    <t>[["insign", 0.8907402239411254], ["score", 0.45451276489589787]]</t>
  </si>
  <si>
    <t>That’s Insigne’s bread and butter, he should’ve scored. That should have been a goal INSIGNE! Insigne should be scoring that. 😌. ⚯͛ Emma Lou △⃒⃘ 🇮🇹 can hear you screaming at Insigne to score then😹. Insigne you fraud, robbed me of Berardi assist points ffs.</t>
  </si>
  <si>
    <t>[["save", 0.8493723124687997], ["barella", 0.5277941595086132]]</t>
  </si>
  <si>
    <t>Heavily impressed with Barella Berardi so far. Barella in particular, great player. Chiellini forces a save off a corner! What a piece of play! Lovely header and an even better save #Ita #Tur. Contender for save of the tournament that! What a save!! EURO 2020 #TURITA.</t>
  </si>
  <si>
    <t>[["cakir", 1.0]]</t>
  </si>
  <si>
    <t>What a save Cakir😳. WHAT A SAVE! Cakir denies Chiellini’s header from the corner by tipping it over the bar.. #ITA 0-0 #TUR. Cakir is some goalkeeper. Be surprised if he doesn’t get a big move this summer. Saved a penalty v Holland not too long ago I think too #TUR.</t>
  </si>
  <si>
    <t>[["score", 0.8295663898648721], ["immobil", 0.5584080988010138]]</t>
  </si>
  <si>
    <t>HURRY UP AND SCORE IMMOBILE!!!!!!. I NEED POINTS!!!!!!!! Immobile is 100% scoring today. How have Italy not scored? #TURITA. He hasn’t scored yet but you can tell Immobile is the class of this game. A step above everyone else. FFS IMMOBILE I NEED YOU TO SCORE THAT HEADER.</t>
  </si>
  <si>
    <t>[["hand", 0.6096079520693675], ["dive", 0.6018597019320433], ["jorginho", 0.5158905348657442]]</t>
  </si>
  <si>
    <t>Yilmaz what a pathetic dive that was, why has he not been booked? That wasn’t a ‘poor dive’. That was a top class effort. #TUR. Thats the most typical Jorginho pass and I love it. Spinazzola took like 3 minutes to get back into the game after not getting the hand ball #ITA.</t>
  </si>
  <si>
    <t>[["handbal", 0.6543512583617535], ["pen", 0.4364203292173064], ["var", 0.4014440783513346], ["ref", 0.29471213066765817], ["dread", 0.21483792268412796], ["penalti", 0.20949759734382642], ["jorginho", 0.15014938649941229], ["worst", 0.1440823526251807]]</t>
  </si>
  <si>
    <t>That's a handball for sure lmao give it to Jorginho pls. Should be a booking for Yilmaz, only way to stop folk diving. And that’s a pen for Italy for handball imo. What is a hand ball? Because clearly, this ref doesn’t know. #Ita Euro 2021.</t>
  </si>
  <si>
    <t>[["take", 0.6717901058014395], ["handbal", 0.532627861643471], ["bloodi", 0.5147869605461995]]</t>
  </si>
  <si>
    <t>#ITA 👏 TAKE 👏 YOUR 👏BLOODY 👏 CHANCES 👏. Take Manuel off and bring on Pessina Italy ⭐️⭐️⭐️⭐️. If I was #ITA I would simply take the lead of this game already. Mourinho go take Spinazzola worry waaaaa. Turkey players are playing handball 😂. #ITATUR.</t>
  </si>
  <si>
    <t>[["pre", 1.0]]</t>
  </si>
  <si>
    <t>All the pre-match talk about Locatelli and Barella in Italy’s midfield just for Jorginho to be the best player on the park.</t>
  </si>
  <si>
    <t>OPinion</t>
  </si>
  <si>
    <t>Yeahh locatelli is needed for our mid. Need Yilmaz 90th min overhead kick. Need jorginho to just headbutt some cunt in the chest EUROS 2020 Euro 2021. Need Immobile to score for a bet and he turns to shit. Thought this guy was meant to be good. Chiesa needed.</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</si>
  <si>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</si>
  <si>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Wonder if the subs will be taken on the pitch by the remote control car 😂 #TURITA EURO 2020. Florenzi rightly subbed off. 99 pace under is coming on. Good sub.#ITATUR. Why is Di Lorenzo subbed in. Yazici (TUR) and Florenzi (ITA) both subbed at HT Euro Fantasy.</t>
  </si>
  <si>
    <t>[["offsid", 0.9433223971073732], ["corner", 0.33187777134903046]]</t>
  </si>
  <si>
    <t>Berardi absolute clown. How can you be offside there 😂. Getting the dumbest offside of the tournament out of the way early EURO 2020 #TURITA. Since when has it been possible to be offside from a corner? #ITATUR. You can’t be offside from a corner! euro 2020 #ITA.</t>
  </si>
  <si>
    <t>[["demir", 0.8149599704431477], ["goal", 0.38076483968598057], ["take", 0.26863802780819745], ["cross", 0.18321917497771562], ["lead", 0.16980419853027665], ["merih", 0.1308431363380812], ["defend", 0.10958019814105799], ["itatur", 0.08321987432485192], ["locatelli", 0.06946425249976684], ["final", 0.06829250206648321], ["berardi", 0.06330789887333964], ["player", 0.058726555098450005], ["break", 0.057359579410130423]]</t>
  </si>
  <si>
    <t>Demiral og lmfaoooo the arm whacked the ball to the goal 😭😭😭. Demiral own goal 🙈 hit him right in the chest. A Juventus player scores the first goal of the tournament lets gooo 👏👏 grande demiral. What a shit cross😭😭 insigne wasn’t even getting to that ever.</t>
  </si>
  <si>
    <t>[["initali", 0.6657380152334353], ["deflect", 0.5814342859574434], ["strike", 0.41258745296360033], ["merih", 0.17531954863490712], ["goal", 0.13327308696681936]]</t>
  </si>
  <si>
    <t>NOW WE JUST NEED AN IMMOBILE GOAL AND WE HOLD. The first goal in EURO 2020 is an own goal from not so Merih Demiral. Italy lead. Insigne cuts in and tries to curl one, this time it takes a deflection over. 0-1 (57) Berardi's cross deflects in—Italy strike first at EURO 2020.</t>
  </si>
  <si>
    <t>[["breakthrough", 0.9190528012374707], ["insign", 0.39413442952571176]]</t>
  </si>
  <si>
    <t>Insigne with some horrible R2 shots. Get that man a new controller. Insigne shot. Whatever you do, don't let Insigne cut in and look for that right-hand top corner off the bend. euro 2020. 🇮🇹 Italy make the breakthrough in the opener via a Merih Demiral own goal ⚽️. EURO 2020.</t>
  </si>
  <si>
    <t>[["berardi", 0.8794483249358702], ["chiesa", 0.4759943736720971]]</t>
  </si>
  <si>
    <t>Chiesa needs to replace this berardi. Berardi is gonna be one of my favourite players of the tournament, just coz he’s got black boots on 👌🏻. Need Chiesa on. Berardi warra player. Take off berardi already.. All three Italy players in the box when Berardi shot that ball EURO 2020.</t>
  </si>
  <si>
    <t>[["immobil", 0.6225643529999314], ["ciro", 0.46662217216191193], ["scene", 0.40619434661304255], ["lead", 0.36403091212573413], ["take", 0.23646682814315922], ["gol", 0.20309717330652127]]</t>
  </si>
  <si>
    <t>Personally think Jorginho should be leading the goalscoring table with that handball. I don't need to watch the match to know that Italy made a gol because people outside screams like no one 😂. #ITA. Great goal for Ciro, guess he’s not immobile eh 😀.</t>
  </si>
  <si>
    <t>[["second", 0.4720430745938614], ["goal", 0.37565320400846125], ["barella", 0.3549258371928705], ["spinazzola", 0.31134382728754817], ["immobil", 0.25736763536554147], ["ciro", 0.20668693653916065], ["bestyouunfollowmenowtbh", 0.1929441849848319], ["defend", 0.17974188016353498], ["didnt", 0.17968753701800472], ["save", 0.16247817943117443], ["move", 0.16172149137265449], ["cakir", 0.15478436398261508], ["almost", 0.14131219359074432], ["turkish", 0.13998105570027256], ["player", 0.13238126912771658], ["take", 0.12911013102051122], ["need", 0.12696524557833047], ["half", 0.1207241912273516], ["best", 0.10729873198304216], ["berardi", 0.09947912264023169]]</t>
  </si>
  <si>
    <t>The turkish defenders didn’t move, it was almost as if they were immobile... Just need a jorginho yellow, anyone know if my immobile first goalscorer bet will stand considering the first goal was a og. Locatelli and Barella are class players it on for the second half.</t>
  </si>
  <si>
    <t>[["cruis", 0.7964903492628925], ["win", 0.6046512412383485]]</t>
  </si>
  <si>
    <t>Barella starts thriving in the game, and Italy start winning? Can't be a coincidence. WE ARE WINNING THE EUROOOOOS. #ITA Euro 2020. Jorginho will not even need his kit washed, the man is in absolute CRUISE CONTROL. #TURITA. Italy cruise into a 2️⃣➖0️⃣ lead 🛵 #ITA.</t>
  </si>
  <si>
    <t>[["ciro", 0.7190796585569591], ["lead", 0.6060822897285751], ["fire", 0.2707944875841835], ["second", 0.2055700567227483]]</t>
  </si>
  <si>
    <t>Ciro Immobile Has More Euros Goal s (1) than Messi and Maradona Combined (0) Berardi turned it around this second half. 📸 Immobile fires in second for Italy against Turkey ⚽️. EURO 2020. ITALY LEAD 2-0! 🇮🇹. Ciro Immobile with his first goal of EURO 2020 💥.</t>
  </si>
  <si>
    <t>[["14th", 0.8816676317384838], ["celebr", 0.4718709433146452]]</t>
  </si>
  <si>
    <t>Ciro Immobile celebrating his goal #ITA. 🇮🇹 Ciro Immobile celebrates his 14th international goal for Italy ⚽️. EURO 2020.</t>
  </si>
  <si>
    <t>[["jorginho", 1.0]]</t>
  </si>
  <si>
    <t>Kante driving to Italy just to deliver a ball to Jorginho what a guy man. Great pass by Jorginho there, wasted. Jorginho balling out. Jorginho is good in what he does in that position. Control the tempo of the game and breaks play so well. Can also pick a pass 👌🇮🇹.</t>
  </si>
  <si>
    <t>[["insign", 0.9546469501500042], ["final", 0.23208763420966114], ["gol", 0.18650611415247945]]</t>
  </si>
  <si>
    <t>Fam these man have to take insigne off set pieces. Stating the obvious but Insigne is such a lovely player. Beautiful goal from Insigne. Same position from which he missed one in the first half. Insigne been trying that all game good job for him its finally worked😭😭.</t>
  </si>
  <si>
    <t>[["goalkeep", 0.4757905369223752], ["seen", 0.4211923102695967], ["keeper", 0.37247336347042775], ["ive", 0.3432925439334981], ["enough", 0.31932316506123004], ["shot", 0.2964146785475424], ["chiesa", 0.2887374773582163], ["insign", 0.25775172025656956]]</t>
  </si>
  <si>
    <t>What a cracking 3rd goal from a goalkeeper calamity. #ITA stuffing the #TUR 3-0. What a goal from Insigne.. The keeper had no chance... Chiesa na belloti off the bench... Italy are winning this. Kebab is not football and is the worst food I ever seen. Bizim Cocuklar #tur.</t>
  </si>
  <si>
    <t>[["chiesa", 0.5733177481463534], ["jorginho", 0.4948475860392527], ["leagu", 0.41621782113819467], ["stage", 0.36407880811382787], ["win", 0.34733553388748933]]</t>
  </si>
  <si>
    <t>Jorginho doing it on the international stage and ucl final HMMMM. Chiesa score for my fantasy league team please. My Euros 2021 prediction: Federico Chiesa will announce his arrival onto the big stage of world football. Chiesa finally on.</t>
  </si>
  <si>
    <t>[["curl", 0.542234056394336], ["insign", 0.3980511383951399], ["possess", 0.3796015060719041], ["clean", 0.35979172993633995], ["lorenzo", 0.2972859868762383], ["uber", 0.2919261285071051], ["corner", 0.2579979627768686], ["ball", 0.1328525725696067], ["far", 0.12719099666380615]]</t>
  </si>
  <si>
    <t>Lorenzo Insigne curling the ball into the far corner first time. Clean 😎. After watching that Insigne goal again…was there ever a more “FIFA” goal than that? Through ball (🔼), placed finish (R1 + ⭕️)…bellissimo. Insigne's Uber had more ball possession than Turkey.</t>
  </si>
  <si>
    <t>[["three", 0.5514870324420138], ["score", 0.44757942855805044], ["chiellini", 0.41926965503718716], ["lorenzo", 0.2457890996670505], ["assist", 0.23445466708719317], ["game", 0.22583565103385472], ["tackl", 0.2236617376085771], ["first", 0.20794834545448443], ["time", 0.19275429539943786], ["last", 0.15147060833930107]]</t>
  </si>
  <si>
    <t>Mancini first Italian manager to score at least 3 in a Euros game. We picked. Italy have scored 28 times in their last nine matches without conceding a single goal💥 #ITA EURO 2020. 📸 - Wonderful tackle from Chiellini to deny Yilmaz from scoring there...</t>
  </si>
  <si>
    <t>[["chiellini", 0.628702096703881], ["goal", 0.4181550053158387], ["eas", 0.4087715031846998], ["defend", 0.4086480967136891], ["busi", 0.22166617987449738], ["point", 0.2160017617189773]]</t>
  </si>
  <si>
    <t>That’s why Chiellini is one of my all time favourite defenders Euro 2020. I love how chiellini celebrates a tackle like a goal. Just couldn't let Yilmaz score could you? Shame on you Chiellini, you made me lose fantasy points 👎👎👎👎.</t>
  </si>
  <si>
    <t>[["versu", 0.957039494288489], ["vivo", 0.28995759409271077]]</t>
  </si>
  <si>
    <t>🕹️ EN VIVO. ARSENAL versus,. SOUTHAMPTON[]][ARSENAL Versus,. SOUTHAMPTON.. ➡️ ver en vivo.. Arsenal vs Southampton'\|| Arsenal vs Southampton.</t>
  </si>
  <si>
    <t>[["onlin", 0.7494461583921549], ["direct", 0.4857664416608313], ["vivo", 0.4498459956778713]]</t>
  </si>
  <si>
    <t>💠 𝐋𝐢𝐯𝐞 Stream Online 🆓. PL Live Streaming Online FreeARSENAL versus, SOUTHAMPTON. ARSENAL Versus, SOUTHAMPTON.. ➡️ ver en vivo.. 📹 EN DIRECT.</t>
  </si>
  <si>
    <t>That ball from Xhaka was 👌 shame it was offside. Saka to Nketiah goal but it was offside my heart is on fire 😭😭😭😭😭. Saka with the most offside run I've seen since 1987. Even though it was offside, that’s the importance of Xhaka in the midfield.</t>
  </si>
  <si>
    <t>[["foul", 0.447213595499958], ["miss", 0.447213595499958], ["bar", 0.447213595499958], ["aubameyang", 0.3835227716975346], ["crossbar", 0.3760482901127803], ["hit", 0.24204892791180507], ["score", 0.23002235454285908]]</t>
  </si>
  <si>
    <t>Xhaka will do that exact same foul and be booked. @ltarsenal About the same time Saka hit the crossbar against Brighton. Arsenal should be in front. Aubameyang played through on goal but he hits the bar.. How did Aubameyang miss that. I had already counted it as 1-0.</t>
  </si>
  <si>
    <t>[["mustafi", 0.7501324351888052], ["yellow", 0.3604061722468584], ["unlucki", 0.27398450182849704], ["ref", 0.27398450182849704], ["red", 0.23472846481496387], ["foul", 0.2297979893770453], ["book", 0.2221916696987967]]</t>
  </si>
  <si>
    <t>Refs are banter. How has mustafi got booked but not their player 🤨. How is that a yellow for Mustafi but the professional foul on Pepe wasn't? Mustafi has one yellow card season nah I don’t believe that. Mustafi wins the ball, doesn't touch the player, Mustafi get yellow carded.</t>
  </si>
  <si>
    <t>[["ceballo", 0.408248290463863], ["spin", 0.408248290463863], ["dani", 0.408248290463863], ["score", 0.408248290463863], ["injur", 0.3539542613652852], ["saka", 0.20342823680114341], ["versu", 0.19188917296379943], ["vivo", 0.18724154806858762], ["onlin", 0.17515853792712394], ["southampton", 0.1542752992577862], ["stream", 0.12057754593157857], ["ver", 0.11497675379430207], ["direct", 0.11200819066929814]]</t>
  </si>
  <si>
    <t>@OsmanZtheGooner And just then Ceballos gets caught on the ball trying to spin. Arsenal players make Dani ceballos to look very like a championship player. #SOUARS. If Saka is injured here I'm never watching football again. Better be taking the piss if Saka goes off injured.</t>
  </si>
  <si>
    <t>[["injuri", 0.5773502691896257], ["ff", 0.5773502691896257], ["curs", 0.5773502691896257]]</t>
  </si>
  <si>
    <t>Another day, another injury for an Arsenal player. Cursed. Not saka now ffs, we will have no squad left at this rate. How did Auba miss that? Saka injury. We are actually a cursed club. Arsenal players are having injuries pon injuries right now.</t>
  </si>
  <si>
    <t>[["differ", 1.0]]</t>
  </si>
  <si>
    <t>Xhaka makes such a difference to our game. Xhaka proving the difference. Xhaka already making a difference. Xhaka makes an immense difference. Xhaka so good man what a difference he makes. Love the guy. Xhaka making a massive difference in there so far.</t>
  </si>
  <si>
    <t>[["error", 0.34287959296322673], ["keeper", 0.22948683199059694], ["terribl", 0.22948683199059694], ["goal", 0.22948683199059694], ["alex", 0.22948683199059694], ["gift", 0.22948683199059694], ["smh", 0.22948683199059694], ["fuck", 0.22948683199059694], ["howler", 0.22948683199059694], ["final", 0.22948683199059694], ["score", 0.22948683199059694], ["mistak", 0.22948683199059694], ["lead", 0.22948683199059694], ["press", 0.22948683199059694], ["call", 0.22948683199059694], ["btw", 0.2039357459676782], ["goalkeep", 0.19951513179727623], ["done", 0.16953682568695], ["well", 0.15466567425603261], ["lacazett", 0.10523505867194209]]</t>
  </si>
  <si>
    <t>Arsenal u have one job not to lose the lead. Teams always seem to have howlers like that against arsenal ffs. Mccarthy with an error of the season. Nketiah with a good press. If that was Lacazette, the keeper would of caught him up. Yo who the fuck is in goal for arsenal 😭😭😭.</t>
  </si>
  <si>
    <t>[["plant", 0.6528533338876606], ["tree", 0.5486520423299153], ["miss", 0.2932494941969412], ["var", 0.2571978828529817], ["lacazett", 0.19806012606347834], ["eddi", 0.17904933259629546], ["check", 0.1408705608092258], ["bellerin", 0.12156341282924638], ["that", 0.12127979554444378]]</t>
  </si>
  <si>
    <t>Var checking if nketiah coughed at the gk to get the ball😭😭. @iseekwisdm He really wants bellerin to start planting some trees. This is a clue in how to plant 3000 trees. He has been planting trees now, what do expect bro. So painful his done😟.</t>
  </si>
  <si>
    <r>
      <rPr>
        <rFont val="Arial"/>
        <u/>
      </rPr>
      <t>The Guardian</t>
    </r>
    <r>
      <rPr>
        <rFont val="Arial"/>
        <u/>
      </rPr>
      <t xml:space="preserve">, </t>
    </r>
    <r>
      <rPr>
        <rFont val="Arial"/>
        <u/>
      </rPr>
      <t>BeSoccer</t>
    </r>
    <r>
      <rPr>
        <rFont val="Arial"/>
        <u/>
      </rPr>
      <t xml:space="preserve">, </t>
    </r>
    <r>
      <rPr>
        <rFont val="Arial"/>
        <u/>
      </rPr>
      <t>BBC</t>
    </r>
  </si>
  <si>
    <t>[["bellerin", 0.6724965314565668], ["celebr", 0.3191497863093264], ["bottl", 0.3191497863093264], ["gift", 0.3191497863093264], ["aw", 0.2791400192279182], ["shit", 0.24980576542419783], ["assist", 0.2305733126717169], ["idiot", 0.22066384748045925]]</t>
  </si>
  <si>
    <t>Being an Arsenal fan means you don’t even celebrate when we’re 1-0 up. Southampton gifted Arsenal a goal just like that. Cédric will be our first choice RB. Bellerin is awful. Am only watching this game for arsenal to bottle it. I hope Arteta is seeing how shit Bellerin is.</t>
  </si>
  <si>
    <t>[["declin", 0.408248290463863], ["aw", 0.408248290463863], ["useless", 0.408248290463863], ["pass", 0.408248290463863], ["hector", 0.408248290463863], ["done", 0.3588852104379508], ["frog", 0.19459720551841048]]</t>
  </si>
  <si>
    <t>@CFCBenji @sfcdannnn Sad decline of arsenal football club. Hector Bellerin has to be one of the most useless and overrated RB in the premier league. Bellerin has been shakey. His positioning and passing are awful. Bellerin is a frog, really done out here.</t>
  </si>
  <si>
    <t>[["shit", 1.0]]</t>
  </si>
  <si>
    <t>Nah man, Bellerin???? What a shit show. Bellerin is looking mad shit uno. Bellerin is fucking dog shit loooool. Bellerin been so shit recently. Bellerin is shit. Bellerin is shit. Bellerin is shit. Bellerin is shit. Bellerin is shit. Bellerin is shit. Lmaooo bellerin is so shit🤣.</t>
  </si>
  <si>
    <t>[["plant", 0.7633476433472364], ["tree", 0.6459879065402234]]</t>
  </si>
  <si>
    <t>Be like Bellerin no won plant tree oo. Bellerin the only person in the way of stopping him planting trees absolute dogshit today. Bellerin needs to plant a tree every time he gives the ball way at this rate fuck me. Bellerin needs to plant a tree at right back.</t>
  </si>
  <si>
    <t>[["shit", 0.6324555839856192], ["plant", 0.48086022002155965], ["tree", 0.41082033813935176], ["mustafi", 0.3162277919928096], ["counter", 0.3162277919928096]]</t>
  </si>
  <si>
    <t>Bellerin went from I dont want to plant trees to nobody can stop me from planting trees. Bellerin’s finished. Should stick to planting trees as a full-time job. Who passed it to ceballos on a counter 😂😭. And all the Southampton players are fucking shit too.</t>
  </si>
  <si>
    <t>[["aw", 0.8944271909999159], ["umbrella", 0.4472135954999579]]</t>
  </si>
  <si>
    <t>Lol is that Lacazette with the umbrella? Our playing out from the right has been awful. Need to find a way to get Pepe the ball. I love bellerin but fuck me he’s awful 😂😂. @FootyKB Ceballos and Bellerin have been awful. We aren’t even good. Southampton are awful.</t>
  </si>
  <si>
    <t>[["half", 0.5], ["gift", 0.5], ["bore", 0.5], ["loan", 0.5]]</t>
  </si>
  <si>
    <t>I've never been so bored watching an Arsenal team before. Not a bad first half from @Arsenal but should be 2 or 3 up. Eddie Nketiah was on Loan at Leeds for half a season, came back and has now scored more away goals than Lacazette who's been here all season.</t>
  </si>
  <si>
    <t>Arsenal Second Half Under 1.5 -128 [2]. Don’t choke in the second half. Arsenal actually playing well today to be fair. Hopefully Saints kick on in the second half. #SOUARS. @charles_watts Yes Charles!!!. Hopefully Arteta brings u on in the second half.</t>
  </si>
  <si>
    <t>Saka (disallowed)</t>
  </si>
  <si>
    <t>[["shane", 0.8557319954295753], ["long", 0.517419319312796]]</t>
  </si>
  <si>
    <t>Shane long coming on so you know what that means.. Fans of every other football club: lmao does shane long even score goals. arsenal fans: oh no, not shane long. Please, I'm still having nightmares. Shane long is the one face I do not want to see.</t>
  </si>
  <si>
    <t>Mustafi</t>
  </si>
  <si>
    <t>[["second", 0.7071067811865475], ["underway", 0.7071067811865475]]</t>
  </si>
  <si>
    <t>Back underway.. @Arsenal Laca ozil on for second half. Second half is underway #SOUARS Premier League Is Back. Second half underway. #Arsenal 1 - #Southampton 0. The Gunners need to see this one out. They need the points. 46' Second half underway at St Mary's. #SOUARS.</t>
  </si>
  <si>
    <t>Nketiah</t>
  </si>
  <si>
    <t>[["red", 0.5773502691896257], ["tackl", 0.5773502691896257], ["walker", 0.34862153318448036], ["peter", 0.341005682847968], ["kyle", 0.22805665631470887], ["loane", 0.2085704813950947]]</t>
  </si>
  <si>
    <t>@Arsenal Kyle Walker-Peters is on the pitch now. We mustn't lose to a Tottenham loanee. Valery tackling Saka? Not the first time he put a child down. Wow I would not have complained had it been a red for Saka there. Bad tackle. Saka lucky not to get away with a red there 😳.</t>
  </si>
  <si>
    <t>[["distribut", 0.7071067811865475], ["touch", 0.7071067811865475]]</t>
  </si>
  <si>
    <t>That distribution from Martinez is beautiful @Arsenal #SOUARS. Martinez’s distribution is superior #Arsenal. Martinez distribution is actually better than Leno's. What a pass, Aubameyang should've done a lot better. That touch from Aubameyang. Pepe doesn't touch the ball enough.</t>
  </si>
  <si>
    <t>[["willock", 1.0]]</t>
  </si>
  <si>
    <t>What is Willock coming to do in this game 🤦🏼‍♂️🤦🏼‍♂️🤦🏼‍♂️🤦🏼‍♂️🤦🏼‍♂️🤦🏼‍♂️🤦🏼‍♂️🤦🏼‍♂️. Why the fuck is willock on. He is so shit. Arsenal gone 5-3-2 since Pepe off for Willock. Ceballos sitting and Xhaka and Willock playing either side of him in the three.</t>
  </si>
  <si>
    <t>Long for Obafemi</t>
  </si>
  <si>
    <t>@Arsenal @Joewillock A stupid sub. Aaaaand he has been subbed. Not sure about that one :)) Why sub Pepe? Bad Sub from Arteta Again. What in the fuck even is that sub. Game after game Arteta is making questionable subs. @Arsenal @Joewillock WTF IS THIS SUBS???</t>
  </si>
  <si>
    <t>Walker-Peters for Valery</t>
  </si>
  <si>
    <t>[["pass", 0.7071067811865475], ["poor", 0.7071067811865475]]</t>
  </si>
  <si>
    <t>Bellerin is so so poor. We are not average. We are poor. Bellerin passing has been poor #SOUARS. @MoAmali Hector wasn’t passing to him , he’d rather pass the ball back to mustafi. Nketiah can't give final pass. As much as I like Ceballos, he has been really poor today.</t>
  </si>
  <si>
    <t>Saka</t>
  </si>
  <si>
    <t>[["cramp", 0.7071067811865475], ["kolasinac", 0.7071067811865475]]</t>
  </si>
  <si>
    <t>Kolasinac worries me even before he has come on. Tierney down for Arsenal going off injured maybe cramp. Kolasinac on #SOUARS. 🔄Looks like cramp for Tierney. Kolasinac coming on to replace him. Kolasinac on for Tierney, who I think (hope) only has cramp.</t>
  </si>
  <si>
    <t>Willock for Pepe</t>
  </si>
  <si>
    <t>[["chill", 0.5773502691896257], ["ff", 0.5773502691896257], ["umbrella", 0.5773502691896257]]</t>
  </si>
  <si>
    <t>Lmao Ozil chilling in the sun with a likkle umbrella ☂️☀️. Ozil in the stands with an umbrella, alone. 300k a week. sweet. As Arsenal fans, we are getting excited about Lacazette using an umbrella in the heat.. while on the subs bench.. I. Am. Done.</t>
  </si>
  <si>
    <t>Kolasinac for Tierney</t>
  </si>
  <si>
    <t>[["amn", 0.5000000000000001], ["conced", 0.5000000000000001], ["save", 0.4431370611512952], ["shane", 0.4016804902366939], ["long", 0.29774617338130355], ["great", 0.23158053682076415]]</t>
  </si>
  <si>
    <t>Won't be Arsenal if we were to concede then concede the way we scored. @Arsenal @kierantierney1 @seadk6 Great Save.. 😱😱😱. Thank you @emimartinezz1. Shane long ain’t the same man 😪. Great chance for Saints FC as Shane Long is denied.. Laca and AMN on for Nketiah and Ceballos.</t>
  </si>
  <si>
    <t>Lacazette for Nketiah</t>
  </si>
  <si>
    <t>[["pass", 0.6059411029215787], ["maitland", 0.5139180641501563], ["nile", 0.4856832541277862], ["xhaka", 0.3644658828891681]]</t>
  </si>
  <si>
    <t>Laca and Maitland Niles on for Nketiah and Ceballos. Xhaka’s been good but why does he have to ruin it with such a stupid pass every game ffs. Xhaka fam u HAD to pass that to auba. That was a bad pass by Xhaka, he is not feeling it on the ball today.</t>
  </si>
  <si>
    <t>Maitland-Niles for Ceballos</t>
  </si>
  <si>
    <t>[["stephen", 0.5], ["jack", 0.5], ["sent", 0.5], ["hell", 0.3806164820456717], ["bellerin", 0.24799013235500697], ["fuck", 0.20888271314238283]]</t>
  </si>
  <si>
    <t>Red card! Jack Stephens is sent off for Southampton.. @afc3mily getting bummed but stephens just got sent off. Stephens sent off. A few own him as bench fodder. Jack Stephens is sent off and #Saints are down to 10 men with less than five minutes of normal time remaining. #SOUARS.</t>
  </si>
  <si>
    <t>Stephens (red)</t>
  </si>
  <si>
    <t>[["thank", 0.6882472016116853], ["mccarthi", 0.22941573387056177], ["gift", 0.22941573387056177], ["lucki", 0.22941573387056177], ["alex", 0.22941573387056177], ["rebound", 0.22941573387056177], ["gol", 0.22941573387056177], ["gonna", 0.22941573387056177], ["keeper", 0.22941573387056177], ["free", 0.18536382222756242], ["goalscor", 0.13673903654405337], ["kick", 0.1351733418857323], ["opportun", 0.12170734470997918], ["deni", 0.10969377976565999], ["clear", 0.08419389382099897]]</t>
  </si>
  <si>
    <t>@sue_skyheart @Arsenal @Aubameyang7 no free kick only, red was for denying a clear goalscoring opportunity. McCarthy is so fucking shit, properly gifted the win to Arsenal. Thank you for not breaking my heart tonight @Arsenal. You don't know how much it means😭❤.</t>
  </si>
  <si>
    <t>Willock</t>
  </si>
  <si>
    <t>[["final", 0.4999999999999999], ["babi", 0.24999999999999994], ["wow", 0.24999999999999994], ["win", 0.24999999999999994], ["bad", 0.24999999999999994], ["happi", 0.24999999999999994], ["hate", 0.24999999999999994], ["gift", 0.24999999999999994], ["fuck", 0.24999999999999994], ["actual", 0.24999999999999994], ["lead", 0.19268843757699644], ["red", 0.18600556170394908], ["goal", 0.1728922990641488], ["card", 0.16703871112768554], ["doubl", 0.1592832885902847], ["joe", 0.12858940665595056], ["first", 0.12677940455840403]]</t>
  </si>
  <si>
    <t>@arsenal is winning 2-0 and all I can do is just.... Awww arsenal finally 😆 @bbellgam so happy for you lol. Arsenal win to top off the day🥺 wow what a day. @Arsenal You have to be really bad to lose to arsenal. Jack Stephens loves a red card against us fuck me 😂.</t>
  </si>
  <si>
    <t>Romeu for Højbjerg</t>
  </si>
  <si>
    <t>[["tree", 0.7163582149309895], ["vestergaard", 0.434469788972757], ["keeper", 0.434469788972757], ["plant", 0.3306099103790177]]</t>
  </si>
  <si>
    <t>Man’s finally gonna be able to plant his trees 😭. He's gonna plant 9000 trees by the end of the season btw. Bellerin, you can go and plant your tree now. 1 🌲 tree planted like that. 3000 trees to be planted but haters will tell you Arsenal is useless.</t>
  </si>
  <si>
    <t>Vestergaard for Ings</t>
  </si>
  <si>
    <t>[["ye", 0.5], ["rob", 0.5], ["motm", 0.5], ["mustafi", 0.4145182381437627], ["hold", 0.2795972643753706]]</t>
  </si>
  <si>
    <t>Rob holding man of the match you love to see it. Holding deserves more than motm after playing a full 90 alongside mustafi. Rob Holding was mental in the air today. Won almost every ball. Where are the people who didn’t want Rob Holding in the team hiding? I just want to talk.</t>
  </si>
  <si>
    <t>[["burnley", 0.44469880161364417], ["done", 0.3806637074573752], ["watford", 0.36820688366286963], ["first", 0.3583552425265312], ["well", 0.32731884865774274], ["arteta", 0.3262860990335411], ["away", 0.313770991432539], ["lad", 0.28511549672283476]]</t>
  </si>
  <si>
    <t>FT | Premier League. Burnley 1-0 Watford. Southampton 0-2 Arsenal. First away win for Arteta at Arsenal and an away goal to go with #SOUARS. Well done arsenal. You surprised me with it today lads. @Arsenal well done and @Joewillock top man scenes 🔥🔥🔥.</t>
  </si>
  <si>
    <t>[["injur", 1.0]]</t>
  </si>
  <si>
    <t>FFS Saka down injured. If Saka is injured here I'm never watching football again. Pls Saka don’t be injured. Arsenal players going down injured. If Saka is injured I'm going back to La Liga I'm done.</t>
  </si>
  <si>
    <t>[["mccarthi", 1.0]]</t>
  </si>
  <si>
    <t>Fucking sell McCarthy. Oh McCarthy 😧😧😧. Oh dear McCarthy 🙆🏾‍♂️. GOAL!! NKETIAH MAKES IT 1-0 TO ARSENAL! What is McCarthy doing there?! 😱. Fuck off mccarthy. What was that from McCarthy. Thank you McCarthy. McCarthy👊🏿. McCarthy.. no words. Oh McCarthy, why? Lmao McCarthy 🤣.</t>
  </si>
  <si>
    <r>
      <rPr>
        <rFont val="Arial"/>
        <u/>
      </rPr>
      <t>The Guardian</t>
    </r>
    <r>
      <rPr>
        <rFont val="Arial"/>
        <u/>
      </rPr>
      <t xml:space="preserve">, </t>
    </r>
    <r>
      <rPr>
        <rFont val="Arial"/>
        <u/>
      </rPr>
      <t>BeSoccer</t>
    </r>
    <r>
      <rPr>
        <rFont val="Arial"/>
        <u/>
      </rPr>
      <t xml:space="preserve">, </t>
    </r>
    <r>
      <rPr>
        <rFont val="Arial"/>
        <u/>
      </rPr>
      <t>BBC</t>
    </r>
  </si>
  <si>
    <t>[["offsid", 0.8476821328625878], ["ball", 0.5305044784217513]]</t>
  </si>
  <si>
    <t>Arsenal put the ball in the back of the net but Saka was offside. Saints FC. Nketiah puts the ball in the the goal is flagged for offside #SOUARS. Offside but that's what Granit Xhaka is in the side for. What a ball. Arsenal goal called back; offside.</t>
  </si>
  <si>
    <t>[["ceballo", 1.0]]</t>
  </si>
  <si>
    <t>I can't watch when Ceballos play. Look at Ceballos. Ceballos ffs 🤦🏼‍♂️. Is this the ceballos you're benching ozil for? @Arsenal. Ceballos is shit man. Fuck off ceballos. Ceballos and those turns. Ceballos don start,</t>
  </si>
  <si>
    <t>Saka injured. Feel sorry for arsneal now 😭. Better be taking the piss if Saka goes off injured. Saka injured imagine how tired Arsenal fans are lmao. Lowe it if Saka gets injured I might cry. Swear to god if Saka getd injured. @Evelyn_Nakayi And now Saka looks injured 🤔.</t>
  </si>
  <si>
    <t>[["mccarthi", 0.5], ["keeper", 0.5], ["alex", 0.5], ["goal", 0.5]]</t>
  </si>
  <si>
    <t>Are you fucking kidding me!?!? McCarthy, what have you done! 🤬. What in the world is Alex McCarthy even seeing there? Nketiah! Got up in the keepers face, love it. 1-0. That's why players who can't play go in goal #SOUARS. As I say that, there’s a howler from Alex McCarthy 😂.</t>
  </si>
  <si>
    <t>[["gift", 1.0]]</t>
  </si>
  <si>
    <t>What a gift lmao #SOUARS. McCarthy with the gift of the season. GIFT!!! Eddie!!! What a gift 😄 #SOUARS. What a bizarre mistake by Mccarthy.. Gifted a goal to Arsenal. Arsenal absolutely gifted a goal, lifeline to get their campaign off since lockdown! Nketiah ⚽️. #SOUARS.</t>
  </si>
  <si>
    <t>Half-time. Southampton 0-1 Arsenal -. HALF TIME: Southampton 0-1 Arsenal. Eddie’s first half goal after McCarthy’s mistake sees us go into the break a goal ahead at St. Mary’s. Our best half by a mile since the restart (although that’s not hard 😉). 📞📞📞.</t>
  </si>
  <si>
    <t>[["tackl", 1.0]]</t>
  </si>
  <si>
    <t>That’s a bad tackle from Saka. Awful tackle Saka ffs. Why did Saka make that reckless tackle?? Valery tackling Saka? Not the first time he put a child down.</t>
  </si>
  <si>
    <t>Someone should point me to what Willock does. What does willock really do? Willock coming on for Pepe. What is the fucking fascination with Willock? Arsenal sub: Pepe out, Willock in. Joe Willock on, no idea why. @HarisonRamon @Arsenal @Joewillock Willock ✊🏽✊🏽✊🏽✊🏽💪🏼💪🏼💪🏼👊🏼✊🏽✊🏽💪🏼.</t>
  </si>
  <si>
    <t>[["amn", 1.0]]</t>
  </si>
  <si>
    <t>Hope we can normalize AMN ahead of Ceballos. AMN comes in for Ceballos. Eddie off Laca on. Ceballos off AMN on. 11 minutes to go. Ma Gunners #SOUARS. Finally some AMN in midfield. Ceballos hasn't convinced me he should be starting there ahead of him today.</t>
  </si>
  <si>
    <t>[["willock", 0.7071067811865475], ["joe", 0.7071067811865475]]</t>
  </si>
  <si>
    <t>I love Joe Willock. Him, Eddie and Saka all immense prospects! Today is for the young boys @EddieNketiah9 joe willock❤️🙌🏾 #SOUARS. Willock!!!. On the rebound. Auba saka willock have been our best player. #SOUARS. Joe Willock , a goal scoring CM. We really don't need Ceballos.</t>
  </si>
  <si>
    <r>
      <rPr>
        <rFont val="Arial"/>
        <u/>
      </rPr>
      <t>The Guardian</t>
    </r>
    <r>
      <rPr>
        <rFont val="Arial"/>
        <u/>
      </rPr>
      <t xml:space="preserve">, </t>
    </r>
    <r>
      <rPr>
        <rFont val="Arial"/>
        <u/>
      </rPr>
      <t>BeSoccer</t>
    </r>
    <r>
      <rPr>
        <rFont val="Arial"/>
        <u/>
      </rPr>
      <t xml:space="preserve">, </t>
    </r>
    <r>
      <rPr>
        <rFont val="Arial"/>
        <u/>
      </rPr>
      <t>BBC</t>
    </r>
  </si>
  <si>
    <t>[["plant", 0.7279764621722579], ["tree", 0.6856021226069559]]</t>
  </si>
  <si>
    <t>Bellerin can plant some trees now 😭. Héctor Bellerín pledged to plant 3,000 trees for every Arsenal win for the remainder of the season... They've since lost 2 games 🤦‍♂️. So Paddy Power have pledged to plant 6,000 trees for every time Arsenal FAIL to win a match. 🌳. Fair play! 👏.</t>
  </si>
  <si>
    <t>[["motm", 0.6161069237592764], ["deservedli", 0.576455603659789], ["rob", 0.536759904897068]]</t>
  </si>
  <si>
    <t>Rob Holding gets MOTM. Solid performance 🙌. Rob Holding, take a bow. Solid performance. Rob Holding MOTM and deservedly so! Eddie Nketiah. Joe Willock. The youngers! Clean sheet away from home. And, Rob Holding is MOTM deservedly. #SOUARS.</t>
  </si>
  <si>
    <t>[["reddit", 0.6344779874654879], ["offici", 0.4793754944189147], ["stream", 0.45134266312628407], ["livestream", 0.40487852402225416]]</t>
  </si>
  <si>
    <t>⚽⚽[Official/@^LiVeStreamS"]#"!"Southampton vs Arsenal"liVe StreaMs-reddit 2020. ⚽⚽+[Official/Streams]!!" "Southampton vs Arsenal"liVe STrEaMs- Reddit -Premier League. ⚽⚽[Official||LIVESTREAM]"" "Southampton vs Arsenal liVe STrEaMs-reddit..</t>
  </si>
  <si>
    <t>Even though it was offside, that’s the importance of Xhaka in the midfield. That pass from xhaka tho 😔 ugh why did it have to be offside. OFFSIDE 🏳️. Saka is caught offside in his late run, where Pepe managed to put the ball in the net. Saints FC. [0-0]</t>
  </si>
  <si>
    <t>[["mustafi", 0.7429269142299043], ["aubameyang", 0.5028420851785604], ["yellow", 0.34292103263218693], ["card", 0.2785939749251306]]</t>
  </si>
  <si>
    <t>Aubameyang, what was he thinking. Aubameyang not today please. Ha Aubameyang thought. Wtf why yellow for Mustafi??? @_sakalinho Mustafi being mustafi again. Mustafi's started. Oh god. Yellow card Mustafi, 12' -. Hojbjerg isn't booked but Mustafi is, standard. Mustafi which way.</t>
  </si>
  <si>
    <t>[["score", 0.7071067811865475], ["injur", 0.6106925099611847], ["saka", 0.3564472727870257]]</t>
  </si>
  <si>
    <t>If Aubameyang doesn't score tonight it will be the first time in 11 years without him scoring in 4 games. #SOUARS. If saka gets injured I’m finished with football. I swear if Saka is injured I’m switching sports. Better be taking the piss if Saka goes off injured.</t>
  </si>
  <si>
    <t>[["curs", 1.0]]</t>
  </si>
  <si>
    <t>I think it's time we started to talk about the Arsenal curse. @0v13_ its the arsenal curse.. whatever happens. Saka down injured.. cursed.. we’re cursed. This club is cursed... Nahhh Arsenal are cursed I promise you. Bruhh Arsenal is cursed man. Arsenal is cursed. jfc.</t>
  </si>
  <si>
    <t>[["eddi", 0.408248290463863], ["alex", 0.408248290463863], ["fuck", 0.408248290463863], ["keeper", 0.408248290463863], ["gift", 0.408248290463863], ["goalkeep", 0.3554393661972686], ["error", 0.20082211935927433]]</t>
  </si>
  <si>
    <t>Finally Arsenal is on the good side of a defensive/goalkeeping error. I love you Eddie. Goal for Eddie Nketiah! An absolute gift! Eddie pressed their keeper and their keeper panicked! 1-0 #Arsenal. Alex McCarthy creating more chances than our entire midfield this season.</t>
  </si>
  <si>
    <t>[["btw", 1.0]]</t>
  </si>
  <si>
    <t>Lacazette would never do that btw. @robertg58475117 @afcjoshh @Arsenal I'm a united fan btw. Lacazette misses that btw. Lacazette sends it to the channel btw. Nketiah is scoring btw.</t>
  </si>
  <si>
    <t>[["bellerin", 0.5], ["shit", 0.5], ["pass", 0.5], ["plant", 0.3732246049989963], ["tree", 0.3327211959333869]]</t>
  </si>
  <si>
    <t>I don’t think bellerin wants to plant any trees. Bellerin gotta get it together.. very shit passing today. Bellerin is looking real shit each game he plays 😷. Please Bellerin can you open up your shape and pass the ball yo Pepe.. Please stop passing back to Mustafi.</t>
  </si>
  <si>
    <t>[["plant", 0.6117787798837204], ["tree", 0.5407322545286065], ["finish", 0.4082495274929273], ["lacazett", 0.2905061428417558], ["away", 0.20829730593561616], ["loan", 0.19719556285415782]]</t>
  </si>
  <si>
    <t>We 're finished!. #SOUARS. Bellerin guy doesn't want to plant any trees. Word is McCarthy wants some trees to be planted. Bellerin’s finished. Should stick to planting trees as a full-time job. We loaned out Nketiah and now he's back and has scored an away goal before Lacazette.</t>
  </si>
  <si>
    <t>[["counter", 1.0]]</t>
  </si>
  <si>
    <t>That Arsenal counter was terrible. Who passed it to ceballos on a counter 😂😭. I'm not kidding, this was the first counter attack of the year from arsenal. #SOUARS. And we still can't counter without Özil. 😑 #Arsenal #SOUARS. Counter sef Arsenal nor dey fit play.</t>
  </si>
  <si>
    <r>
      <rPr>
        <rFont val="Arial"/>
        <u/>
      </rPr>
      <t>The Guardian</t>
    </r>
    <r>
      <rPr>
        <rFont val="Arial"/>
        <u/>
      </rPr>
      <t xml:space="preserve">, </t>
    </r>
    <r>
      <rPr>
        <rFont val="Arial"/>
        <u/>
      </rPr>
      <t>BeSoccer</t>
    </r>
    <r>
      <rPr>
        <rFont val="Arial"/>
        <u/>
      </rPr>
      <t xml:space="preserve">, </t>
    </r>
    <r>
      <rPr>
        <rFont val="Arial"/>
        <u/>
      </rPr>
      <t>BBC</t>
    </r>
  </si>
  <si>
    <t>HALF TIME: Saints FC 0-1 Arsenal. Second half live @BBCRadioSolent to come shortly. Half time - Southampton 0-1 Arsenal. Thoughts on First Half ?! 🤔🤔. #SOUARS. 4/4 as Arsenal takes a 1-0 lead into the half. All comes down to Man City 🤫💵. First half over. 1-0. Arsenal fans rn:.</t>
  </si>
  <si>
    <t>[["shane", 1.0]]</t>
  </si>
  <si>
    <t>If Shane Long comes on it’s game over for us. Oh no, Arsenal are fucked now. Shane Long is due his one performance of the season. Shane long is scoring a goal in the 83rd minute. They're bringing on shane long, it's over. 0% chance he doesn't score against us, it's his trademark.</t>
  </si>
  <si>
    <t>[["red", 1.0]]</t>
  </si>
  <si>
    <t>How is that not a red for Saka? Could have easily been red for Saka. How has Saka escaped a red there? How come saka doesn’t get a red card is VAR ? Should that be a red card for saka? wow. goes after the spurs player. That’s a red for Saka. Saka is a lucky boy. Red all day long.</t>
  </si>
  <si>
    <t>[["willock", 0.9357304591154801], ["sub", 0.35271590251012624]]</t>
  </si>
  <si>
    <t>#SOUARS willock is the worst sub to come on now. What the fuck is Willock coming to do? We are complaining of no creativity and the next sub is Willock. @Arsenal @Joewillock Willock for pepe? Why willock he's not even good. @Arsenal @Joewillock Willock is useless what is this sub.</t>
  </si>
  <si>
    <t>[["ceballo", 0.7071067811865475], ["poor", 0.7071067811865475]]</t>
  </si>
  <si>
    <t>Ceballos should be the one off. @Arsenal @Joewillock What is Ceballos doing on the pitch? Ceballos with the ball. We are not average. We are poor. I can’t stand Bellerin and Ceballos no more. So poor. As much as I like Ceballos, he has been really poor today.</t>
  </si>
  <si>
    <t>[["chill", 0.5773502691896257], ["umbrella", 0.5773502691896257], ["kieran", 0.5773502691896257]]</t>
  </si>
  <si>
    <t>Ozil just hold umbrella dey chill for stadium. @FlexUTD @milesxaddy @markgoldbridge. #SOUARS. This man is proper chilled 🤣. Ozil having an umbrella and chilling. Is a modo. Kieran Tierney loves an injury. Ozil in the stands with an umbrella, alone. 300k a week. sweet.</t>
  </si>
  <si>
    <t>[["bore", 1.0]]</t>
  </si>
  <si>
    <t>@Arsenal @premierleague @Joewillock Very boring match. Arsenal is so boring.. So bad at football lol. At least Boring Arsenal were effective. This is just Average Arsenal. Boring boring #Arsenal. The players are playing as if it's a local pub friendly match.</t>
  </si>
  <si>
    <t>[["save", 0.7071067811865476], ["shane", 0.5979366779089208], ["long", 0.3774542743316645]]</t>
  </si>
  <si>
    <t>Shane long u ediat. What a save from Martinez 🤗🤗😍. #SOUARS. Shane Long another player clear of Lacazette. Shane Long fucked up. Good save Emi! #SOUARS. Shane long been a thorn in our side for years. @Arsenal @kierantierney1 @seadk6 Great Save.. 😱😱😱. Thank you @emimartinezz1.</t>
  </si>
  <si>
    <t>ARSENAL SUBS: Lacazette 🇫🇷ON. AMN 🏴󠁧󠁢󠁥󠁮󠁧󠁿ON. Nketiah 🏴󠁧󠁢󠁥󠁮󠁧󠁿OFF. Ceballos 🇪🇸OFF. 😇0-1🍌. #SOUARS. Lacazette and AMN coming on. AMN comes in for Ceballos. Laca and AMN on. Should keep Southampton in their own half from now on. #SOUARS. @ltarsenal AMN replaced Ceballos finally!!!</t>
  </si>
  <si>
    <t>[["auba", 0.818609805441928], ["pass", 0.5743500556579837]]</t>
  </si>
  <si>
    <t>Xhaka fam u HAD to pass that to auba. Poor by xhaka. auba was the pass he should've played. Is xhaka blind? Auba was the right pass. Xhaka should have played Auba there.</t>
  </si>
  <si>
    <t>[["jack", 0.5773502691896257], ["sent", 0.5773502691896257], ["red", 0.48607541949087046], ["card", 0.31155099085078786]]</t>
  </si>
  <si>
    <t>Pretty sure he's been sent off for them against Arsenal before. Red card! Southampton down to 10 men - Jack Stephens is sent off.. #afc. Southampton just got a player sent off if you bottle this guys I will smash my tv. No way was that a red card😠. Arsenal do not deserve to win.</t>
  </si>
  <si>
    <t>[["score", 0.8130616828089606], ["lacazett", 0.5821775501922597]]</t>
  </si>
  <si>
    <t>Lacazette is scoring this 🙌. We loaned out Nketiah and now he's back and has scored an away goal before Lacazette. Nketiah scores for Arsenal. @Arsenal @Aubameyang7 Score again please. Arsenal scores.</t>
  </si>
  <si>
    <t>[["goal", 0.72925360934727], ["mccarthi", 0.4309564447016301], ["happi", 0.4309564447016301], ["joe", 0.22340431455379192], ["first", 0.2164088053499475]]</t>
  </si>
  <si>
    <t>That was to be a goal that seals the deal and to mark 50 aubameyang goals😒. That was just too good! What a goal! @Arsenal. Good goal. 2-0 to #Arsenal and up a man. Joe Willock's first Premier League goal. So Arsenal fans are happy about this win? 💀.</t>
  </si>
  <si>
    <t>[["final", 0.7071067811865475], ["plant", 0.542773739979012], ["tree", 0.45320709084169875]]</t>
  </si>
  <si>
    <t>Looks like bellerin will finally be planting some trees. Hector Bellerin finally gets to plant those trees. Fraud. Finally 3K trees can be planted, Since @Arsenal has won a game today.. The environment can be saved. 😂😂😂🙌🙌🙌. Wow Arsenal finally winning a game that they should have.</t>
  </si>
  <si>
    <t>[["rob", 0.8863586777278583], ["hold", 0.4629992380301751]]</t>
  </si>
  <si>
    <t>Rob holding, love seeing him back, really rate him 👌🏻. Monster defending from Rob Holding. Man of the match ! Who even is Rob holding!? How is he a centre half for Arsenal!? 😩 Club is done!! Rob Holding fantastic. That'll give him a massive boost going into further games.</t>
  </si>
  <si>
    <t>[["thank", 0.5773502691896257], ["done", 0.4758908367566155], ["first", 0.3511175073250954], ["away", 0.35011239253205545], ["well", 0.3268963823972694], ["arteta", 0.2957552061733231]]</t>
  </si>
  <si>
    <t>is this strange thing 😉. Well done @Arsenal boys done good. First away win for Arteta at Arsenal and an away goal to go with #SOUARS. Thank you, @Arsenal. Thank you, just keep doing this and maybe you'll still have fans at the end of the season. Thank you So very much!</t>
  </si>
  <si>
    <t>[["offsid", 0.777947183964151], ["xhaka", 0.5590473217408851], ["pass", 0.28681748729216383]]</t>
  </si>
  <si>
    <t>That ball from Xhaka was 👌 shame it was offside. Saka to Nketiah goal but it was offside my heart is on fire 😭😭😭😭😭. Saka with the most offside run I've seen since 1987. Obvious offside lol but watch Xhaka get praise for that. See that pass from Xhaka there? that’s why he starts.</t>
  </si>
  <si>
    <t>[["book", 0.8062810607150394], ["mustafi", 0.3609506845795408], ["tierney", 0.357723251920242], ["score", 0.30275324848694674]]</t>
  </si>
  <si>
    <t>Can we just talk about that ball from Tierney for a second. So mustafi gets booked for that but hjoberg didnt get book for stopping pepe in full flow. Refs are banter. How has mustafi got booked but not their player 🤨.</t>
  </si>
  <si>
    <t>[["want", 0.7892201100435504], ["see", 0.6141104281013684]]</t>
  </si>
  <si>
    <t>Mustafi is still the worst defender in the league I see. Southampton win is imminent. You can see it. People are finally seeing what Xhaka offers 🤐. Liverpool want Chelsea to win. Manchester Utd want Chelsea to lose and. Arsenal dont even know what they want...</t>
  </si>
  <si>
    <t>[["injur", 0.8075900700641491], ["saka", 0.46562443914898555], ["knee", 0.3619283912612761]]</t>
  </si>
  <si>
    <t>I swear to jesus if saka is injured i may actually finally give up. Southampton I’m on my knees. If Saka is injured here I'm never watching football again. Saka down. Stop the league! Another Arsenal player injured?. Better be taking the piss if Saka goes off injured.</t>
  </si>
  <si>
    <t>[["take", 0.7085784690832054], ["pass", 0.7056320238989305]]</t>
  </si>
  <si>
    <t>Our midfield has been fluent in its passes and we actually do pass forward. Xhaka is back. Why isn’t Pepe taking it. Must Ceballos touch the ball before passing it every time? The man just blew a very good chance away by taking a touch.</t>
  </si>
  <si>
    <t>[["main", 0.46440109325774953], ["mccarthi", 0.4366321500036398], ["tap", 0.42553287924407895], ["event", 0.3718253871049278], ["clearanc", 0.22701767297606543], ["caught", 0.21070615523536756], ["lead", 0.14320072236609463], ["keeper", 0.14320072236609463], ["gol", 0.14320072236609463], ["alex", 0.14320072236609463], ["final", 0.1432003025931612], ["net", 0.1286606474097865], ["empti", 0.11734812428308998], ["striker", 0.11458799089080511], ["sweet", 0.10695133598243575], ["slander", 0.10405449974504363], ["sky", 0.10082132283921115]]</t>
  </si>
  <si>
    <t>Southampton GL error leading to a goal from Arsenal striker. Giroud memories are coming back. That is so embarrassing... what is the Southampton keeper doing? Wow. McCarthy gets caught on the ball, Nketiah blocks his clearance and taps into an empty net. 1-0 to the Arsenal.</t>
  </si>
  <si>
    <t>[["bellerin", 0.8643319952057635], ["howler", 0.32884078687162804], ["lead", 0.2923910545248791], ["atroci", 0.14802692933032527], ["leagu", 0.1417336065461997], ["spade", 0.13153335377592776]]</t>
  </si>
  <si>
    <t>Bellerin is bottom 3 right backs in the premier league. Atrocious. Bellerin why the fuck are you so shit at passing? Bellerin has been so wasteful on the ball so far. When there’s a defensive howler in the Arsenal game but it isn’t made by an Arsenal player.</t>
  </si>
  <si>
    <t>[["dubravka", 0.4753768837517815], ["season", 0.4486522710927083], ["eddi", 0.4170751597566797], ["lacazett", 0.40900662356252143], ["martin", 0.2318365494974662], ["nketiah", 0.2301187676908884], ["error", 0.21608855505545344], ["enough", 0.203892456606066], ["suffer", 0.19110369075570394]]</t>
  </si>
  <si>
    <t>Arsenal need to win this.., their fans have suffered enough! Eddie Nketiah with more away Premier League goals this evening than Lacazette has this season. Only Martin Dúbravka (5) has committed more errors leading to goals in the Premier League this season than Alex McCarthy (3).</t>
  </si>
  <si>
    <t>[["touch", 1.0]]</t>
  </si>
  <si>
    <t>Calm down Xhaka fan boys, he’s touched the ball twice. Has Pepe touched the ball yet? Err ings that touch was dirty. Has Pepe had a single touch? Alex McCarthy appreciation tweet! 👏. The most vital of touches from Alex McCarthy to deny Aubameyang!. That touch from Ings 😍.</t>
  </si>
  <si>
    <t>[["angri", 0.7394988490491562], ["partner", 0.6731578212090931]]</t>
  </si>
  <si>
    <t>Arsenal are winning and DT is still so fucking angry😭. Arsenal win? DT angry. Arsenal draw? DT angry. Arsenal lose? DT angry. Hotel? Trivago. Xhaka will finally get a proper midfield partner. Tears on his eyes!.</t>
  </si>
  <si>
    <t>The Guardian, BeSoccer, BBC</t>
  </si>
  <si>
    <t>[["half", 0.8963576058377766], ["bellerin", 0.32128678636427144], ["away", 0.3054796938660377]]</t>
  </si>
  <si>
    <t>Bellerin need fi guh model a lef man club Kmt. How many times has Bellerin lost the ball this half ffs. Bellerin has been awful this half I must say! Eddie Nketiah scored away against Burnley. Went on loan for half a season and came back and scored an away goal before Lacazette.</t>
  </si>
  <si>
    <t>[["worst", 0.8673627840250278], ["someth", 0.4976764017796634]]</t>
  </si>
  <si>
    <t>This is potentially the worst half of football I’ve ever seen bellerin play 💩. No wonder Southampton have the worst home record in the league. Something about seeing arsenal win doesn’t seem right. Is Hector Bellerin the worst Right back in the Premier League ? #SOUARS.</t>
  </si>
  <si>
    <t>Saka has pocketed Valery this whole half. What a player! Would love to see Ozil on to start the second half. Its half time already, and Arsenal lead by 1 goal to nil. Arsenal need a midfielder who can get on the ball in the opposition half and make things happen.</t>
  </si>
  <si>
    <t>[["break", 0.516953639424684], ["nketiah", 0.40642815603124516], ["ahead", 0.3919128599692347], ["leagu", 0.373556148729082], ["half", 0.3716318253130554], ["let", 0.36922214048257346]]</t>
  </si>
  <si>
    <t>Half-time in the 6pm kick-offs: - Southampton 0-1 Arsenal. - Burnley 0-0 Watford. How's everyones bets looking at the break? 🤔. If Leeds started Nketiah and kept him for the season they would have won the league by now. Bamford is half the player.</t>
  </si>
  <si>
    <t>[["take", 0.5895709353118017], ["cohes", 0.5711418879033333], ["flaw", 0.5711418879033333]]</t>
  </si>
  <si>
    <t>Take obafemi off. Take falery off. Djenepo and kwp on please. Or kiss this game goodbye. Southampton keeper on the take? Seems as such. We look much more cohesive with Xhaka in the midfield showing for the ball and popping it around. Important player despite his flaws.</t>
  </si>
  <si>
    <t>[["asap", 0.8465838743234755], ["amn", 0.36122075244966306], ["need", 0.3333553361966], ["lead", 0.20418014488290692]]</t>
  </si>
  <si>
    <t>We need a better RB to get more out of Pepe. Arteta needs to do something about Ballerin, both in this match and the long term. Bellerin turns like tractor guy is finished AMN needs to be 1st choice RB. Eddie Nketiah gives Arsenal a 1-0 lead going in to the break 🔴.</t>
  </si>
  <si>
    <t>[["long", 0.7820567270572533], ["shane", 0.49025273071517267], ["second", 0.38475906186965037]]</t>
  </si>
  <si>
    <t>We need to see that Long and Ings link up now #saintsfc. Sol Campbell “a second goal for Arsenal kills the game as a contest”. Ffs shane long hattrick incoming. Shane Long coming on second half. Shane long ffs. Second half kicks off.. How does it end?. #SOUARS #SWFLive.</t>
  </si>
  <si>
    <t>[["saka", 0.728309253965773], ["red", 0.6852485903581409]]</t>
  </si>
  <si>
    <t>Wtf injuring our player. That's a clear red for Saka. Saka sees yellow. Hopefully VAR leaves that be. That could be a red for the #Arsenal man. Should that be a red card for saka? wow. goes after the spurs player. Saka lucky not to get away with a red there 😳.</t>
  </si>
  <si>
    <t>[["touch", 0.6303678190075211], ["aubameyang", 0.5684766243132017], ["martinez", 0.5286499223202137]]</t>
  </si>
  <si>
    <t>Why is Aubameyang passing that. Insane touch from Aubameyang but that pass has to find a way 🤷‍♂️🤷‍♂️🤷‍♂️. What a touch that was from aubameyang. What a pass by Martinez and what a first touch by Auba. Shame that didn't end up at Nketiah's feet. What a ball by Martinez #SOUARS.</t>
  </si>
  <si>
    <t>[["ederson", 0.7330085433537773], ["alan", 0.6802194317794615]]</t>
  </si>
  <si>
    <t>Alan Smith on Emi Martinez’s pass to Aubameyang: “Ederson at Man City would’ve been pleased with that.” [Sky] #afc.</t>
  </si>
  <si>
    <t>[["willock", 0.969577985799197], ["lead", 0.24478261673078858]]</t>
  </si>
  <si>
    <t>Arsenal are leading Southampton 🙆‍♂️. #SOUARS willock is the worst sub to come on now. Why’s he bringing on Willock when we need a fucking goal. Willock isn’t a bad sub tbh. But for who. Pepe for willock this arteta dude is frauding a living. Willock on again ffs.</t>
  </si>
  <si>
    <t>[["tierney", 0.4535475675295463], ["footbal", 0.4106586739324992], ["equalis", 0.40466425668429007], ["chelsea", 0.3954685102053358], ["injur", 0.3938808867725065], ["confus", 0.3877671999350383]]</t>
  </si>
  <si>
    <t>Southampton equaliser please! 🥺🤞🏼 #SOUARS. Liverpool want Chelsea to win or draw. Man u want Chelsea to lose.. Arsenal are just confuse. Come on Chelsea 💙💙. Watching Arsenal play football is 2020 summed up. If Tierney is injured again, I’m done with football.</t>
  </si>
  <si>
    <t>[["sead", 0.84852121274823], ["willock", 0.3497578902117981], ["see", 0.28353866450270604], ["take", 0.2780053875069448]]</t>
  </si>
  <si>
    <t>Herh the Southampton keeper take bride 😂😂. Is this willock a footballer at all ? 🥴🥴🥴🥴. A second sub now as KT leaves the pitch... ↩️ Kieran Tierney. 🔛 Sead Kolašinac. #SOUARS 🔴⚪️ 0-1 🟡🟡 (70). Ozil taking some inspiration from niran... Happy to see arsenal winning cl.</t>
  </si>
  <si>
    <t>[["half", 0.7676311281126608], ["lead", 0.6242188961743337], ["six", 0.1452350536591637]]</t>
  </si>
  <si>
    <t>Oyo Redmond wanted to score right in the first half naye waaaa.😂. Southampton with six shots to Arsenal's one in the second half. Arsenal better find that second goal... This 1-0 lead odikwa risky. Arsenal are leading 0-1. at the end of this game the score will be 1-1.</t>
  </si>
  <si>
    <t>[["deni", 0.6077942473026063], ["coast", 0.35247394440849333], ["save", 0.35247394440849333], ["brilliant", 0.32381901378344446], ["cool", 0.3143467645765857], ["danger", 0.30705695390702453], ["south", 0.2900927006010049]]</t>
  </si>
  <si>
    <t>North London are saved #SOUARS. Mesut Ozil is trying his best to keep cool down on the south coast! ☀☂. Good save #SOUARS 1-0. Ings is so underrated. Brilliant save from Martinez tho. Brilliant save from Martinez to deny Long. Arsenal living dangerously now. 15 minutes to go.</t>
  </si>
  <si>
    <t>[["final", 0.8999610973152877], ["conced", 0.23852352974696334], ["want", 0.22516374277006626], ["man", 0.20537812396906846], ["hear", 0.2007427812222252]]</t>
  </si>
  <si>
    <t>Won't be Arsenal if we were to concede then concede the way we scored. Liverpool want Chelsea to win,Man United want man city to there is Arsenal 😂😂😂 #SOUARS. Looks like bellerin will finally be planting some trees. Things are finally turning around for my good. #Arsenal 🎵 🎶.</t>
  </si>
  <si>
    <t>[["penalti", 0.5830470104759525], ["wonder", 0.5750121369896835], ["pass", 0.5739488007563148]]</t>
  </si>
  <si>
    <t>What a pass by xhaka😷. Alan Smith on Martinez’s brilliant pass to Aubameyang: “Ederson at Man City would’ve been pleased with that.” #afc. Arsenal never hold ball since 2nd half... mini pep is doing wonders. Penalty fc fans wondering how arsenal is taking the lead.</t>
  </si>
  <si>
    <t>[["card", 0.742900272818706], ["red", 0.5096844439344046], ["sent", 0.33474565727811195], ["var", 0.27616353341926564]]</t>
  </si>
  <si>
    <t>Red card Southampton. It will go to VAR. Hasenhuttl screams 'he played for the ball' at the fourth official. A red card and it’s not a Arsenal player 😍. People that can still score this Arsenal team even if they have two player sent off 🙄.</t>
  </si>
  <si>
    <t>[["willock", 0.918635293903849], ["goal", 0.30483470789092143], ["gol", 0.2050641612070779], ["shot", 0.1453743011941364]]</t>
  </si>
  <si>
    <t>Willock scores after I slagged him off so much nahhh. Willock does score a lot of goals to be fair to him. Eddie Willock as our goal scorers 🤟👏 love it 💪. Willock! 2-0!. Willock gets a goal as he tends to do at times.. Reacted well to Lacazette’s shot to secure the deal.</t>
  </si>
  <si>
    <t>Willock saving me from ending it all! Mc Arthur is out there saving arsenal fan lives. Black Excellence saving Arsenal once again. Finally bellerin can save the planet 😂. 3000 trees. Arsenal saving the earth. Bellerin time to save the world. God save Arsenal.</t>
  </si>
  <si>
    <t>I swear to god Saka has aim it for crosses. 94: Saka's cross deflected for another Arsenal corner. 😇0-2🍌. #SOUARS. Saka’s crosses are soooo good. Rob Holding had a good with those crosses and over the top balls really well. Unreal cross from saka ffs, need him at the bridge.</t>
  </si>
  <si>
    <t>FT: Southampton 0-2 Arsenal. xG:. TOP HALF!!!. Arsenal back into the top half? Eddie Nketiah scored away against Burnley. Went on loan for half a season and came back and scored an away goal before Lacazette. Points collected but poor show in 2nd half Arsenal Mikel Arteta.</t>
  </si>
  <si>
    <t>[["bar", 0.5865712157684664], ["aubameyang", 0.568182761788616], ["tierney", 0.30912040183923517], ["auba", 0.2998206137075783], ["score", 0.29229884932498074], ["hit", 0.24943158878581742]]</t>
  </si>
  <si>
    <t>What a ball from Tierney. Auba hits the bar. Great pass from Tierney. Should be 1-0. Aubameyang has to score. See aubameyang. i’m dead. see that big post man. na bar you see to put ball. Oh Auba. Should score. #SOUARS. Auba 🤦🏽‍♂️🤦🏽‍♂️ martial would of scored that btw. #SOUARS.</t>
  </si>
  <si>
    <t>The refs are actually trolling arsenal at this point😂😂😂😂😂😂. 10 mins in and the ref books Mustafi. #Arsenal.</t>
  </si>
  <si>
    <t>Arsenal players going down injured. Okay if Saka is injured I’m saying this season is cancelled... him and Leno were the best players #SOUARS. What's with Arsenal players and being injured out of nothing for fuck sake. #SOUARS.</t>
  </si>
  <si>
    <t>[["goalkeep", 0.6595440505584231], ["mccarthi", 0.4036839495126573], ["goal", 0.23264654336031104], ["keeper", 0.23264654336031104], ["lead", 0.23264654336031104], ["alex", 0.23264654336031104], ["ff", 0.21992807376467438], ["win", 0.21447883824446237], ["nketiah", 0.21353681225591623], ["final", 0.21348479537403478]]</t>
  </si>
  <si>
    <t>Nketiah has goals in 2020 than Tammy Starboy Abraham 😹😹. What an error from the Southampton goalkeeper 😂.. Goal!! Nketiah gives Arsenal the lead in the 21st minute! #Soccerzela. Alex McCarthy appreciation tweet! 👏. The most vital of touches from Alex McCarthy to deny Aubameyang!.</t>
  </si>
  <si>
    <t>[["goal", 0.41221277302252723], ["eas", 0.41221277302252723], ["worst", 0.4090589403789192], ["goalkeep", 0.38065950929955034], ["take", 0.34778458399330525], ["footbal", 0.34007629411529255], ["friendli", 0.3336530804705251]]</t>
  </si>
  <si>
    <t>McCarthy is the worst goalkeeper in the Premier League. Take what you get Nketiah. We need ALL OF THOSE. World class goal. What a great bit of football from the team. Arteta got it right!! Arsenal should win with ease please 🤦‍♂️ #SOUARS. Of course Arsenal will gladly take that.</t>
  </si>
  <si>
    <t>[["ghost", 0.7071067811865475], ["howler", 0.7071067811865475]]</t>
  </si>
  <si>
    <t>Pepe trying his best to ghost. When there’s a defensive howler in the Arsenal game but it isn’t made by an Arsenal player.</t>
  </si>
  <si>
    <t>That was a nice touch from Ings. What a touch by Ings. That touch from Ings! Oof.</t>
  </si>
  <si>
    <t>[["twice", 0.7799561194392004], ["directli", 0.6258342046815143]]</t>
  </si>
  <si>
    <t>Southampton look like they'll will score if they just attack directly, dunno why they're trying to play good football. Here before ings scores twice and makes it 2-1 southampton full time #SOUARS.</t>
  </si>
  <si>
    <t>Mustafi is so scared of fucking up he will not pass it forward into xhaka or ceballos #SOUARS #AFC. Not a fan of Ceballos - loses ball constantly. Would be nice if Bellerin, Mustafi Ceballos could get the ball to Pepe.</t>
  </si>
  <si>
    <t>[["pass", 0.6004154358833458], ["lead", 0.5743737257983309], ["half", 0.5564136298344566]]</t>
  </si>
  <si>
    <t>If we had a penalty Ceballos would pass it backwards. Lmao was Nketiah shooting or passing there? 😭. End of first half. Southampton 0-1 Arsenal. #SOUARS. Never celebrate arsenal leading until its 3 goals up. Never.</t>
  </si>
  <si>
    <r>
      <rPr>
        <rFont val="Arial"/>
        <u/>
      </rPr>
      <t>The Guardian</t>
    </r>
    <r>
      <rPr>
        <rFont val="Arial"/>
        <u/>
      </rPr>
      <t xml:space="preserve">, </t>
    </r>
    <r>
      <rPr>
        <rFont val="Arial"/>
        <u/>
      </rPr>
      <t>BeSoccer</t>
    </r>
    <r>
      <rPr>
        <rFont val="Arial"/>
        <u/>
      </rPr>
      <t xml:space="preserve">, </t>
    </r>
    <r>
      <rPr>
        <rFont val="Arial"/>
        <u/>
      </rPr>
      <t>BBC</t>
    </r>
  </si>
  <si>
    <t>[["friendli", 1.0]]</t>
  </si>
  <si>
    <t>Friendly reminder that Southampton has more wins this season than Arsenal.</t>
  </si>
  <si>
    <t>Arsenal needs creativity. Arteta needs to do something about Ballerin, both in this match and the long term. Bellerin turns like tractor guy is finished AMN needs to be 1st choice RB. Dani Ceballos needs a 1 way flight back to Madrid. Southampton please do the needful 🙏.</t>
  </si>
  <si>
    <t>[["pleas", 1.0]]</t>
  </si>
  <si>
    <t>Southampton please do the needful 🙏.</t>
  </si>
  <si>
    <t>Shane Long scores exclusively against us so I’m acc quite scared. Shane Long gonna score smh. Paddy Power how come no goal scorer market on Shane long in app?</t>
  </si>
  <si>
    <t>[["saka", 1.0]]</t>
  </si>
  <si>
    <t>So what Saka did was card worthy which it is but what Maupay did wasn’t ? I already know what our fans are gonna do with that saka tackle. That looked nasty, honestly feel Saka was a bit fortunate to get only yellow there. No intention but dangerously high.</t>
  </si>
  <si>
    <t>[["jammi", 0.47035653476699646], ["soon", 0.47035653476699646], ["feel", 0.4415399366194267], ["conced", 0.4315747132187096], ["2nd", 0.4198990493967182]]</t>
  </si>
  <si>
    <t>Ings to score a jammy goal against us. It is written. We need a 2nd goal #SOUARS 1-0. Arsenal are going to concede I can feel it #SOUARS. Southampton will soon score. I feel Walker-Peters will score against them.</t>
  </si>
  <si>
    <t>[["sub", 0.7295650558558535], ["willock", 0.6839114191721362]]</t>
  </si>
  <si>
    <t>1st sub and it’s not ozil. I’ll never understand Arteta’s subs sometimes. What the fuck is Willock coming to do? We are complaining of no creativity and the next sub is Willock. Willock first sub lmfao. Why pepe and not Dani? Fuck sake! Not a great sub again, Mikel! #SOUARS.</t>
  </si>
  <si>
    <t>[["pass", 0.6572556633096264], ["delay", 0.5392673878820089], ["yanit", 0.5265032548943435]]</t>
  </si>
  <si>
    <t>Another game has passed Pepe by. Arsenal seem to be doing away with Laca. If they dont want him, we need a back up striker at Yanited🌚🙂. Useless pass from Nketiah. Nketiah needed to delay his pass to Aubameyang just a little and we were in.</t>
  </si>
  <si>
    <t>[["sead", 1.0]]</t>
  </si>
  <si>
    <t>A second sub now as KT leaves the pitch... ↩️ Kieran Tierney. 🔛 Sead Kolašinac. #SOUARS 🔴⚪️ 0-1 🟡🟡 (70).</t>
  </si>
  <si>
    <t>[["hawla", 1.0]]</t>
  </si>
  <si>
    <t>La hawla arsenal are winning?.</t>
  </si>
  <si>
    <t>[["save", 0.7296947415062176], ["conced", 0.6837730502280519]]</t>
  </si>
  <si>
    <t>North London are saved #SOUARS. Great save Emi!! #SOUARS. ⏰77’ Good save from Martinez to deny Long. It’s a good ball forward and Long hits it well but it’s saved very well. Still 0-1 #SOUARS. How hasn’t arsenal conceded ? 😶.</t>
  </si>
  <si>
    <t>[["sent", 0.45795894181233093], ["willock", 0.4516766568199921], ["foul", 0.4223051361763247], ["score", 0.22897947090616547], ["gol", 0.22897947090616547], ["bore", 0.22443100875870603], ["refere", 0.2046874670574345], ["final", 0.1911603647333138], ["event", 0.19077115290199967], ["terribl", 0.19064714030435234], ["found", 0.18489900829894224], ["would", 0.18356248889866464], ["footbal", 0.183373017835241]]</t>
  </si>
  <si>
    <t>What in the boring football is this Arsenal ????? I think Auba would have found Lacazette and he would have scored... lol.. Red card!. Southampton are down to 10 men after Stephens is sent off for fouling Aubameyang P-E. #SOUARS 🔴⚪️ 0-1 🟡🟡 (85)</t>
  </si>
  <si>
    <t>[["second", 0.5348336099631139], ["shot", 0.5013473178835869], ["willock", 0.4877769527495486], ["forster", 0.47400160429171756]]</t>
  </si>
  <si>
    <t>Southampton def need Forster in goal. Can breath easy now with that second Arsenal goal. Does that sequence count as 3 shots for Arsenal? Very good shot from Lacazette to get that rebound for Willock. Willock!! Finally a fucking win after a long long time.</t>
  </si>
  <si>
    <t>[["sum", 0.481294451248223], ["bar", 0.4744672342733942], ["secur", 0.4446352162203739], ["rare", 0.42955224721560265], ["top", 0.4012740786635926]]</t>
  </si>
  <si>
    <t>We are top (half) of the league. The Arsenal !! Barring any surprise, a rare win for Arsenal. Away for that matter. Should secure that top 10 finish. Feeling this great to win against Southampton sums up the season #SOUARS.</t>
  </si>
  <si>
    <t>[["subsum", 0.39139641302128536], ["alhamdulillah", 0.38383215252373937], ["utterli", 0.3632091986919217], ["tree", 0.3589840768881955], ["forgot", 0.3556953834665715], ["twitter", 0.328231898347081], ["chase", 0.3259477281533244], ["nketia", 0.31335910819552276]]</t>
  </si>
  <si>
    <t>#Alhamdulillah #Arsenal wins. Nketia scores for arsenal. Of course he does. His 100th game. Chasing his 50th goal. Pierre-Emerick Aubameyang has utterly subsumed his personal goals for the team cause today. Arsenal winning a game, forgot what the feels like.</t>
  </si>
  <si>
    <t>[["offsid", 0.8049283129993302], ["xhaka", 0.4633125481285035], ["pass", 0.2842349658077424], ["ball", 0.23799659218357933]]</t>
  </si>
  <si>
    <t>What a gorgeous ball from xhaka that was 😍 shame saka was offside. Offside but what a pass from Xhaka tho ffsss. Obvious offside lol but watch Xhaka get praise for that. Offside but that's what Granit Xhaka is in the side for. What a ball. Xhaka with the slide rule pass.. 🔥.</t>
  </si>
  <si>
    <t>[["tierney", 0.6105194627314757], ["red", 0.5052712319350031], ["score", 0.31071915313648374], ["mustafi", 0.3077009703143589], ["yellow", 0.2580479572198401], ["card", 0.2436762441344228], ["book", 0.23403809169857695]]</t>
  </si>
  <si>
    <t>Hojberg doesn’t get booked but mustafi does. Every game it happens. Aubameyang should score. Ruined what would have been a great assist for Tierney. Alan Smith: Arsenal more yellow cards than anyone, Mustafi has paid his part in that. First yellow.</t>
  </si>
  <si>
    <t>[["yellow", 0.546677345591089], ["mustafi", 0.495803107427768], ["absolut", 0.48814393307199266], ["didnt", 0.46587408072080594]]</t>
  </si>
  <si>
    <t>Booking? First foul of the game by an Arsenal player. Absolutely. Mustafi gets a yellow card but the Southampton player didnt when we were on the break with pepe. Referees have an agenda against arsenal. Mustafi "i take the ball" no you didnt mate.</t>
  </si>
  <si>
    <t>Love Ceballos. Hate him as a player though. Poor touches from Mustafi and Ceballos lead to a yellow and a break the other way. Yuck. Ceballos fucking up a roulette and losing the ball to a player who then has a chance at goal is very, very Ceballos.</t>
  </si>
  <si>
    <t>[["lead", 0.43491716580046985], ["gift", 0.2870177657415129], ["final", 0.2849077206243604], ["need", 0.2735993316873309], ["want", 0.2683182381016217], ["ball", 0.26146365409850714], ["mccarthi", 0.23115483069781553], ["keeper", 0.16938105725538005], ["win", 0.14606292985361213], ["premier", 0.14225190297791843], ["low", 0.13449701520136792], ["clearanc", 0.1309378433386088], ["error", 0.1303435607892145], ["live", 0.1294109051301194], ["cheer", 0.12776343654777297], ["key", 0.12752371266190043], ["tap", 0.12749407598854687], ["fella", 0.12731435465407534], ["way", 0.12552082992165664], ["drink", 0.1248040673464534], ["physio", 0.12383559859668528], ["leagu", 0.12360304732627495], ["goal", 0.12317329624616014], ["mad", 0.12146408352001307], ["caught", 0.11207832939712929], ["spain", 0.1109059595755512], ["quit", 0.10986414842364656], ["joshua", 0.10970046830908009], ["tire", 0.10832331200448696], ["net", 0.10446516869299556], ["nketiah", 0.10433398645990886]]</t>
  </si>
  <si>
    <t>Finally something to cheer up the arsenal fans. They needed it man. Oh so that is the only way Arsenal can win? Arsenal u have one job not to lose the lead. McCarthy gets caught on the ball, Nketiah blocks his clearance and taps into an empty net. 1-0 to the Arsenal.</t>
  </si>
  <si>
    <t>[["bellerin", 0.6623911035603557], ["final", 0.35318422320589216], ["determin", 0.2575937592458479], ["abeg", 0.256884998973391], ["luck", 0.23804116227239183], ["sure", 0.1724404909545405], ["profession", 0.1724404909545405], ["sort", 0.13978462291993174], ["ye", 0.13896791882863718], ["mccarthi", 0.1347612497868042], ["goalkeep", 0.1343121814569151], ["sometim", 0.13067240378762626], ["alex", 0.12921173833403665], ["ksi", 0.12225047497564501], ["leagu", 0.11917775045026467], ["gift", 0.11683400266962136], ["eddi", 0.1113284278829426], ["hth", 0.11036199823767043], ["friendli", 0.10873740555233499]]</t>
  </si>
  <si>
    <t>Arsenal are so shit that the league is gifting them goals. Will bellerin finally be able to fulfil his farmer dream? McCarthy’s error is a strong contender for biggest goalkeeper mistake of the season. #SOUARS. I guess Bellerin is finally going to plant some trees.</t>
  </si>
  <si>
    <t>[["half", 0.5775641459306801], ["chanpionship", 0.5206997886806473], ["gather", 0.34091995944962444], ["pass", 0.3103841972382586], ["bellerin", 0.25927444728005067], ["sold", 0.2511880017598853], ["bottl", 0.2289278653122458]]</t>
  </si>
  <si>
    <t>I want Arsenal to win, so we can all gather to laugh at Chelsea. Bellerin needs to be sold. Arsenal will probably bottle this lead. Eddie Nketiah (2) has more away goals than Lacazette (1) for Arsenal this season despite playing half the season in the Chanpionship.</t>
  </si>
  <si>
    <t>[["bellerin", 0.7362930309562838], ["howler", 0.45323706566456906], ["there", 0.30558440452038377], ["defens", 0.2844866004793427], ["isnt", 0.2795250985772281]]</t>
  </si>
  <si>
    <t>I’m ready for Cedric or AMN to take Bellerin’s position. He’s been shit since he came back from the acl. Bellerin is one finished player. When there’s a defensive howler in the Arsenal game but it isn’t made by an Arsenal player.</t>
  </si>
  <si>
    <t>[["past", 0.6252493962059789], ["season", 0.3584013172142771], ["declar", 0.31596098763915115], ["someth", 0.30446035113758146], ["fashion", 0.29478767225545793], ["say", 0.2706659134619053], ["focu", 0.2608759685064553], ["entir", 0.24467970465541874]]</t>
  </si>
  <si>
    <t>Bellerin needs to focus on football not fashion. Arsenal really gonna finish an entire PL season with 9 wins. If Arsenal wins again tonight, I will do something 😂😂. Nketiah more away goals in the past 20 minutes than Laca in the past year and a half.</t>
  </si>
  <si>
    <t>[["six", 0.47933884002964533], ["competit", 0.4521176881479685], ["partner", 0.3249378793783127], ["angri", 0.3249378793783127], ["shock", 0.31936864360562384], ["across", 0.2734035665776625], ["eye", 0.2492864888071099], ["footbal", 0.24500915531249545], ["proper", 0.23608375879847918]]</t>
  </si>
  <si>
    <t>Eddie Nketiah has scored six goals in 11 starts across all club competitions this season 🔥. #SOUARS. Arsenal winning 1-0 that's a shock..... Xhaka will finally get a proper midfield partner. Tears on his eyes!. Ings is a good footballer.</t>
  </si>
  <si>
    <r>
      <rPr>
        <rFont val="Arial"/>
        <u/>
      </rPr>
      <t>The Guardian</t>
    </r>
    <r>
      <rPr>
        <rFont val="Arial"/>
        <u/>
      </rPr>
      <t xml:space="preserve">, </t>
    </r>
    <r>
      <rPr>
        <rFont val="Arial"/>
        <u/>
      </rPr>
      <t>BeSoccer</t>
    </r>
    <r>
      <rPr>
        <rFont val="Arial"/>
        <u/>
      </rPr>
      <t xml:space="preserve">, </t>
    </r>
    <r>
      <rPr>
        <rFont val="Arial"/>
        <u/>
      </rPr>
      <t>BBC</t>
    </r>
  </si>
  <si>
    <t>[["self", 0.7983112730985136], ["believ", 0.602245059127786]]</t>
  </si>
  <si>
    <t>Until arsenal scores 3 goals, I never believe it's over. Arsenal don score self. Can’t believe Alex McCarthy has more assists for arsenal than Özil in away games this season.</t>
  </si>
  <si>
    <t>[["asap", 0.6400539882789938], ["ceballo", 0.5761766901646076], ["need", 0.5082827105057888]]</t>
  </si>
  <si>
    <t>Need to bin off Bellerin ASAP. Ceballos Xhaka need to stop this crazy careless no look pass, its fucking horrendous. Why did Ceballos take so long... sigh. We need to learn to counter attack. Ceballos vision is terrible. Needs to really work on that.</t>
  </si>
  <si>
    <t>[["releas", 0.5929150468372946], ["pepe", 0.4806418538410252], ["ceballo", 0.47493567632473643], ["cross", 0.43803111638804443]]</t>
  </si>
  <si>
    <t>Ceballos chu for once release the ball early and in the right area😭😭. Ceballos is so fucking slow with the release of his pass and Pepe, 80m man, can't give a cross apparently. Should've been 2-0. Great counter wasted by a poor cross from Pepe and lack of pace from Ceballos.</t>
  </si>
  <si>
    <t>[["lad", 0.5344321298093822], ["leagu", 0.5186358731438173], ["premier", 0.3859923481175597], ["mehn", 0.3851690677101464], ["sunday", 0.3847776321328297]]</t>
  </si>
  <si>
    <t>Premier League. Premier League. Southampton Southampton FC 0-1 Arsenal Arsenal - HT. Arsenal let's win this lads. We can do this! Arsenal deserves some respect mehn.... Without them where will all the useless players be?</t>
  </si>
  <si>
    <t>[["amn", 0.5852154369857577], ["asap", 0.49956905304565713], ["bellerin", 0.4883592550298165], ["need", 0.4116538492220824]]</t>
  </si>
  <si>
    <t>Orbinho Bellerin pass accuracy that first half? Please sub ceballos and bellerin give willock and amn a chance. Xhaka-Partey midfield is needed. Perfect balance. If we want to see the best of Pépé, Bellerin can’t be in the starting XI. We need AMN back in the side ASAP.</t>
  </si>
  <si>
    <t>[["second", 0.714273569252916], ["sub", 0.6998666074808112]]</t>
  </si>
  <si>
    <t>Tierney saying a prayer before walking out for the second half. Man knows the team needs it. Main man Hasenhuttl on twitter clearly during the break. Good subs, let’s hope some improvement #saintsfc. 2 subs already. Shane long 😭😭😭. The second half has started #SOUARS.</t>
  </si>
  <si>
    <t>[["saka", 0.6466315831810809], ["yellow", 0.46995658299469634], ["card", 0.4524393335970984], ["tackl", 0.39535687062057134]]</t>
  </si>
  <si>
    <t>How is that not a red for Saka? That’s a bad tackle from Saka. That was dangerous by saka, lucky to get a yellow tbh. So what Saka did was card worthy which it is but what Maupay did wasn’t ? How is that only a yellow card??? #SOUARS. Dirty tackle from Saka on KWP #saintsfc.</t>
  </si>
  <si>
    <t>We need two more.. #SOUARS. Southampton cmon we just need 1 out of you 🤞🏻. Bellerin needs to get his shit together. And Saka is probably our second-best player. Take Nketiah off. He needs the rest. Arsenal need to be careful ooo, this Southampton can spoil things ooo.</t>
  </si>
  <si>
    <t>[["irrit", 0.4059994791423835], ["kill", 0.40003690785218277], ["goal", 0.37399879235194355], ["draw", 0.3689133421856849], ["bottom", 0.3675522728188602], ["minuet", 0.36704089589273214], ["sub", 0.35965129230520493]]</t>
  </si>
  <si>
    <t>Willock on for Pepe. This better do something because Arteta’s subs have been awful. 🔴 Live now! ✨Second half. Southampton FC vs. Arsenal FC. [📌]Link Stream : ↓↓↓. 💻PC:. 📱Android:. 📲 iOS:. #️⃣ #SOUARS. RTWET 🔁 + LIKE💗.</t>
  </si>
  <si>
    <t>[["sead", 0.6802791449877787], ["unfit", 0.5824552587433086], ["kieran", 0.44493387874712587]]</t>
  </si>
  <si>
    <t>Arsenal players are so unfit. Do Arsenal players train? We have a bunch of unfit players in the whole world. Smh. A second sub now as KT leaves the pitch... ↩️ Kieran Tierney. 🔛 Sead Kolašinac. #SOUARS 🔴⚪️ 0-1 🟡🟡 (70).</t>
  </si>
  <si>
    <t>[["half", 0.569647925660057], ["conced", 0.4348800495198209], ["lead", 0.4089535837247586], ["six", 0.2708613327871084], ["shot", 0.22814439262238356], ["ff", 0.19173787059000066], ["inplay", 0.18824229217614352], ["statist", 0.18229101207369378], ["ooh", 0.17486620136397318], ["southampton", 0.1730027657671184], ["asap", 0.16668861445149233]]</t>
  </si>
  <si>
    <t>Bellerin needs to get subbed off asap🤣🤣🤣🤣. Southampton with six shots to Arsenal's one in the second half. Arsenal have injury issues. Arsenal struggle to hold onto leads and concede late goals.. Arsenal refuse to make all the permitted changes.</t>
  </si>
  <si>
    <t>[["deni", 0.6227384664965612], ["brilliant", 0.5824245445956291], ["save", 0.43970037012635516], ["arteta", 0.2822092073424106]]</t>
  </si>
  <si>
    <t>Arteta make sub I take God beg you. Midfield don gas. Arteta’s subs are awful. Arteta needs to sell Özil if he’s not going to use him. Good save #SOUARS 1-0. Great save Martinez #SOUARS. Brilliant save from Martinez to deny Long. Arsenal living dangerously now. 15 minutes to go.</t>
  </si>
  <si>
    <t>[["perform", 0.443635572952748], ["conced", 0.42181534569458423], ["equalis", 0.39301485522942786], ["danni", 0.3456022537398829], ["shane", 0.31189168518631005], ["laca", 0.3110940169561418], ["long", 0.28181735197158464], ["hell", 0.27907125932243565]]</t>
  </si>
  <si>
    <t>Danny ings scores that. Laca’s coming on?? Shane Long equaliser. Watch Laca score #SOUARS. Won't be Arsenal if we were to concede then concede the way we scored. How hasn’t arsenal conceded ? 😶. Southampton performance in 2nd half Arsenal's performance whole season.</t>
  </si>
  <si>
    <t>[["foul", 0.5018085332352142], ["jack", 0.4797763669180033], ["red", 0.43329777338556336], ["willock", 0.3041761774484929], ["card", 0.285245335909012], ["final", 0.27872538814788506], ["sent", 0.1817948920511963], ["stephen", 0.13590285687978726], ["lacazett", 0.1205611175683537], ["take", 0.11236561022778183]]</t>
  </si>
  <si>
    <t>Red Card - Jack Stephens! We are winning this 💪. Willock does score a lot of goals to be fair to him. Red card!. Southampton are down to 10 men after Stephens is sent off for fouling Aubameyang P-E. #SOUARS 🔴⚪️ 0-1 🟡🟡 (85) Bellerin finally about to plant his 3000 trees 😂😂.</t>
  </si>
  <si>
    <t>[["willock", 0.8620314691122799], ["lead", 0.32696488902145665], ["goal", 0.1875762398278772], ["keeper", 0.1168432677208762], ["goalkeep", 0.1168432677208762], ["ref", 0.11210904920672998], ["refere", 0.10668508002620486], ["event", 0.09357090540928058], ["main", 0.08955513126850857], ["free", 0.08768511753345438], ["2nd", 0.08302316513504715], ["kick", 0.07598317564791354], ["second", 0.07376072417259352], ["jack", 0.07328513387979746], ["goaall", 0.07253891955971051], ["sky", 0.07227001898283551], ["defend", 0.07161848787666723]]</t>
  </si>
  <si>
    <t>Goal! Willock doubles Arsenal's lead in the 87th minute! #Soccerzela. Willock with the follow up. 2 nil and job done. Not the best of games but 3 points was needed 😅. Emi’s saves rewarded with a huge turn of play - red card + Willock goal. Should be the game.</t>
  </si>
  <si>
    <t>Emi’s saves rewarded with a huge turn of play - red card + Willock goal. Should be the game. FUCK OFF CHE ADAMS SAVES THAT. You never know what worse luck your bad luck has saved you from. - Cormac McCarthy #quote.</t>
  </si>
  <si>
    <t>[["tree", 0.6168171253614687], ["plant", 0.5921476012398197], ["thank", 0.5185536155565225]]</t>
  </si>
  <si>
    <t>Thank heavens Bellerin gonna finally be able to plant some trees ffs. Arsenal’s first win... we thank God. Very fucking happy for Hector to mug off Paddy Power and get a win for the trees. #SOUARS. Finally some trees will be planted. Thanks Arsenal.</t>
  </si>
  <si>
    <t>[["disgrac", 1.0]]</t>
  </si>
  <si>
    <t>How Arsenal take's corner kicks is a DISGRACE for football. How Arsenal take corner kicks is a DISGRACE for football.</t>
  </si>
  <si>
    <t>[["two", 0.7068522805565327], ["smh", 0.4704231878927109], ["full", 0.28635184558222193], ["see", 0.2454666271288992], ["kid", 0.22344017418280238], ["academi", 0.2104908683316809], ["score", 0.206346107723502]]</t>
  </si>
  <si>
    <t>Nice to see two Arsenal youngsters score today. BREAKING: I can confirm that #Arsenal have won a match - away from home. Two goals by academy products. #COYG. Full time scores: Burnley 1-0 Watford. Southampton 0-2 Arsenal. The kids scored for Arsenal today smh😪.</t>
  </si>
  <si>
    <t>[["offsid", 0.6788053313002247], ["pass", 0.5934463040879192], ["xhaka", 0.4324867701592515]]</t>
  </si>
  <si>
    <t>What a pass from Xhaka man. Missed him so much. Offside but that's what Granit Xhaka is in the side for. What a ball. What a pass from Xhaka to Saka 👏👏too bad ended up with a disallowed goal. That pass from xhaka tho 😔 ugh why did it have to be offside.</t>
  </si>
  <si>
    <t>[["bar", 0.7596022938931335], ["book", 0.4017171602982861], ["tierney", 0.29910145258214904], ["score", 0.27476521022713873], ["mustafi", 0.2471430355826512], ["hit", 0.1886541770257097]]</t>
  </si>
  <si>
    <t>See aubameyang. i’m dead. see that big post man. na bar you see to put ball. Aubameyang should score that.. Will he get 50 before leaving? 😂. Tierney what a pass 👏🏾 Auba should of finished that. Hojberg doesn’t get booked but mustafi does. Every game it happens.</t>
  </si>
  <si>
    <t>[["want", 0.5635731635312312], ["see", 0.47651942032774897], ["chelsea", 0.3948907043265575], ["aubameyang", 0.39031868813889287], ["embarrass", 0.3834412402492923]]</t>
  </si>
  <si>
    <t>Southampton win is imminent. You can see it. People are finally seeing what Xhaka offers 🤐. How did Aubameyang P-E not score?! 😱 #SOUARS. Liverpool want Chelsea to win. Manchester Utd want Chelsea to lose and. Arsenal dont even know what they want...</t>
  </si>
  <si>
    <t>[["diet", 0.6720659398141685], ["saka", 0.6029249771104389], ["injur", 0.4298939921865331]]</t>
  </si>
  <si>
    <t>Okay if Saka is injured I’m saying this season is cancelled... him and Leno were the best players #SOUARS. I don't think Arsenal players have calcium in their diets. Saka get you im on my knees. Not saka:/ take c*ballos instead. Better be taking the piss if Saka goes off injured.</t>
  </si>
  <si>
    <t>[["ff", 0.5901194435456181], ["final", 0.33651561005019703], ["goal", 0.2937292850383529], ["keeper", 0.2760103827349705], ["mccarthi", 0.26848989603660284], ["premier", 0.2620073638125016], ["clearanc", 0.19808928267633058], ["tap", 0.19455422958167687], ["win", 0.1705080055191486], ["caught", 0.16955767185217127], ["leagu", 0.16258550367944613], ["lead", 0.12281285025688041], ["gol", 0.12281285025688041], ["net", 0.11034288489059059], ["empti", 0.10064095611655369], ["want", 0.09021489030384734], ["goalkeep", 0.08681259959323408], ["take", 0.07635533093605971]]</t>
  </si>
  <si>
    <t>Mccarthy ffs how shit can you be. Nketiah a week too early 🤔. We deservedly take the lead.. 1-0 Eddie scores after a major blooper for the Southampton keeper. Arsenal are by far the best premier league team to watch. Absolutely anything can happen when they are on. That goal😂😂.</t>
  </si>
  <si>
    <t>[["shit", 0.7981407948335802], ["score", 0.602470971601471]]</t>
  </si>
  <si>
    <t>McCarthy is shit. They're all shit. Football is shit. Lockdown is shit. The virus is shit. It's all pretty shit. Bored. Nketiah scores for arsenal against southampton... #souars.. How am I gonna tell my kids that Kane scored from here and Aubameyang missed from here.</t>
  </si>
  <si>
    <t>[["bellerin", 0.8023629561292338], ["spade", 0.2976945744473771], ["pass", 0.2550958963506117], ["want", 0.25342350084045057], ["lead", 0.17727835622055896], ["bottom", 0.16536558214830652], ["premier", 0.15415140898309673], ["gift", 0.14000262213313147], ["leagu", 0.13562049490720693], ["plant", 0.13328367786412024]]</t>
  </si>
  <si>
    <t>Bellerin is bottom 3 right backs in the premier league. Atrocious. Bellerin why the fuck are you so shit at passing? Let’s call a spade a spade guys, since football restarted, Bellerin has been straight trash. Bellerin always wants to do so much and ends up giving the ball away.</t>
  </si>
  <si>
    <t>[["gift", 0.4505661730373595], ["goal", 0.4459054481092773], ["eddi", 0.3264472885759467], ["lacazett", 0.321844693901102], ["season", 0.307389722771641], ["touch", 0.3025573397602006], ["nketiah", 0.29328790798374743], ["alex", 0.2497312257840456], ["upset", 0.23150323591814156]]</t>
  </si>
  <si>
    <t>Alex Mccarthy gifting Arsenal the win to plant 3000 trees. You have to respect it. Eddie Nketiah with more away Premier League goals this evening than Lacazette has this season. Calm down Xhaka fan boys, he’s touched the ball twice. In Ings we trust. What a touch Saints FC.</t>
  </si>
  <si>
    <t>[["angri", 0.5119766502176716], ["partner", 0.47504189035977396], ["small", 0.3901435569479896], ["eye", 0.36444358260308113], ["proper", 0.34514189382118465], ["shock", 0.32872642917208894]]</t>
  </si>
  <si>
    <t>Arsenal winning 1-0 that's a shock..... Arsenal are winning and DT is still so fucking angry😭. Xhaka will finally get a proper midfield partner. Tears on his eyes!. Arsenal win? DT angry. Arsenal draw? DT angry. Arsenal lose? DT angry. Hotel? Trivago.</t>
  </si>
  <si>
    <t>Has Pepe touched the ball yet? 😂. Has pepe touched the ball yet ? Has Pepe touched the ball. We look so poor defensively and going forward down our right. Pepe barely getting a touch.</t>
  </si>
  <si>
    <r>
      <rPr>
        <rFont val="Arial"/>
        <u/>
      </rPr>
      <t>The Guardian</t>
    </r>
    <r>
      <rPr>
        <rFont val="Arial"/>
        <u/>
      </rPr>
      <t xml:space="preserve">, </t>
    </r>
    <r>
      <rPr>
        <rFont val="Arial"/>
        <u/>
      </rPr>
      <t>BeSoccer</t>
    </r>
    <r>
      <rPr>
        <rFont val="Arial"/>
        <u/>
      </rPr>
      <t xml:space="preserve">, </t>
    </r>
    <r>
      <rPr>
        <rFont val="Arial"/>
        <u/>
      </rPr>
      <t>BBC</t>
    </r>
  </si>
  <si>
    <t>[["ceballo", 0.9266568011692368], ["counter", 0.37590846338809364]]</t>
  </si>
  <si>
    <t>Not a fan of Ceballos - loses ball constantly. Ceballos and bellirin need to come off. I swear to god if Areta doesnt sub off Bellerin and Ceballos at HT there will be consequences. I haven't seen one forward pass from Ceballos. Who passed it to ceballos on a counter 😂😭.</t>
  </si>
  <si>
    <t>[["actual", 0.38719656066932856], ["humding", 0.37902588880089344], ["leagu", 0.3509412743544156], ["friendli", 0.3276397251037008], ["imw", 0.3268562329074392], ["premier", 0.3006860891918066], ["half", 0.28202803515730523], ["today", 0.27078761306399224], ["unproduct", 0.2595484704321256], ["game", 0.24172785892788629]]</t>
  </si>
  <si>
    <t>Wow Arsenal actually have a lead at half time 👏🏾. Premier League. Who is playing like a Sunday league Arsenal or Southampton FC. No fans : No tempo. Walking on pitch. Friendly reminder that Southampton has more wins this season than Arsenal.</t>
  </si>
  <si>
    <t>[["take", 1.0]]</t>
  </si>
  <si>
    <t>I know Bellerin is taking the stick for his passes or rather the lack of them but he's been solid defensively. Take obafemi off. Take falery off. Djenepo and kwp on please. Or kiss this game goodbye. Southampton keeper on the take? Seems as such.</t>
  </si>
  <si>
    <t>[["amn", 0.696608243618863], ["need", 0.628387045156275], ["asap", 0.34621767199553577]]</t>
  </si>
  <si>
    <t>Please sub ceballos and bellerin give willock and amn a chance. Arsenal needs creativity. Bellerin turns like tractor guy is finished AMN needs to be 1st choice RB. If we want to see the best of Pépé, Bellerin can’t be in the starting XI. We need AMN back in the side ASAP.</t>
  </si>
  <si>
    <t>[["shane", 0.6741320065543148], ["long", 0.542520722598895], ["second", 0.5012158250592514]]</t>
  </si>
  <si>
    <t>We need to see that Long and Ings link up now #saintsfc. Shane Long ffs. Sol Campbell “a second goal for Arsenal kills the game as a contest”. Ffs shane long hattrick incoming. Shane Long coming on second half. Second half kicks off.. How does it end?. #SOUARS #SWFLive.</t>
  </si>
  <si>
    <t>[["saka", 0.8239615562798602], ["red", 0.45926061043116845], ["tackl", 0.3319142140361895]]</t>
  </si>
  <si>
    <t>Saka very lucky to get away with only a yellow. That should be a red card for Saka. Saka should of got a red for that tackle. Foot up studs showing. I already know what our fans are gonna do with that saka tackle. Saka very lucky not to get a Red.</t>
  </si>
  <si>
    <t>I never celebrate Arsenal goals until the last minute. Southampton doing their best to score more goals for Arsenal. Who’s in goal for Arsenal? Why didn't Aubameyang go for goal? Well done Bednarek. Saved us a goal there just 😅. The only way Arsenal could have scored a goal..</t>
  </si>
  <si>
    <t>[["bellerin", 0.8136212429827917], ["pepe", 0.5813952811703387]]</t>
  </si>
  <si>
    <t>Bellerin‘s pass was too heavy for Pepe smh. We needed a better ball from Bellerin to Pepe. 57: Pepe's cross is deflected into the path of Bellerin, but the Spaniard's rasping effort is blocked as well. 😇0-1🍌. #SOUARS. Bellerin's pass to Pepe could have been better there.</t>
  </si>
  <si>
    <t>[["willock", 0.9211770102756268], ["possess", 0.31652189702670225], ["conced", 0.22637757053709065]]</t>
  </si>
  <si>
    <t>30% possession in this second half.. Arsenal football club with 30% possession. Happens almost every game now. Arsenal to concede in 3, 2, 1.... What the fuck is Willock coming to do? We are complaining of no creativity and the next sub is Willock. Willock first sub lmfao.</t>
  </si>
  <si>
    <t>[["lead", 0.9274775316760012], ["defenc", 0.3738788951468005]]</t>
  </si>
  <si>
    <t>Can't score against this defence Southampton should be relegated. Southampton looking likely to score. Arsenal defence all over the place, again. #SOUARS. Arsenal will obviously fuck up this lead in the 90th minute. Sitting back on a 1-0 lead... Not a good look. #SOUARS.</t>
  </si>
  <si>
    <t>[["second", 0.7173423898822061], ["half", 0.696720816165331]]</t>
  </si>
  <si>
    <t>Arsenal get your second goal please.:: Can we please get the second goal Arsenal. How poor we've become. Can't get out of our half playing Southampton. This is crazy! Can we have Arsenal with Mikel Arteta's first half and Unai Emery's second half?</t>
  </si>
  <si>
    <t>[["sead", 0.8185586465524237], ["take", 0.38990162244880455], ["niran", 0.23739250562601857], ["see", 0.16709309258796967], ["92nd", 0.1549466034427658], ["conced", 0.15484441827618764], ["everyth", 0.15310851821568183], ["equalis", 0.14911640254546274]]</t>
  </si>
  <si>
    <t>A second sub now as KT leaves the pitch... ↩️ Kieran Tierney. 🔛 Sead Kolašinac. #SOUARS 🔴⚪️ 0-1 🟡🟡 (70). Ozil taking some inspiration from niran... Arsenal doing everything to concede 😂😂😂. Also, Southampton's equaliser. 92nd or 93rd minute?</t>
  </si>
  <si>
    <t>[["six", 0.6219261543992732], ["half", 0.4635882857538916], ["lead", 0.42525036313701997], ["ceballo", 0.36449127505140344], ["shot", 0.23470752345675103], ["need", 0.1717974891607355]]</t>
  </si>
  <si>
    <t>Another poor game by Ceballos - not what we need at all in that role. Oyo Redmond wanted to score right in the first half naye waaaa.😂. Southampton with six shots to Arsenal's one in the second half. Arsenal literally wasting time for a 1:0 lead....</t>
  </si>
  <si>
    <t>[["deni", 0.507784796544206], ["save", 0.46257315684684835], ["brilliant", 0.4464805729136516], ["martinez", 0.3659262169957775], ["danger", 0.24260675817546976], ["conced", 0.2377829274956341], ["pend", 0.21514994370436274], ["long", 0.1823335369381112]]</t>
  </si>
  <si>
    <t>What a save from Martinez 🤗🤗😍. #SOUARS. Southampton goal pending. Won't be Arsenal if we were to concede then concede the way we scored. SHANE LONG FFS SCORE THERE. Good save Emi! #SOUARS. Brilliant save from Martinez to deny Long. Arsenal living dangerously now. 15 minutes to go.</t>
  </si>
  <si>
    <t>[["blow", 0.7889781096129944], ["lead", 0.6144213070455044]]</t>
  </si>
  <si>
    <t>Arsenal really about to blow this 1-0 lead again, aren’t they 😂😂. In hell you're forced to watch Arsenal defend a one goal lead #bbcfootball. Can’t wait to see how Arsenal blows a lead in the last 10 minutes this time.</t>
  </si>
  <si>
    <t>[["ball", 0.7945156968240488], ["card", 0.5231663520569522], ["red", 0.30828846163231177]]</t>
  </si>
  <si>
    <t>We give so much cheap ball away and our final ball is piss poor #Arsenal. VAR didn’t change that red card.. Stephens got the ball sha. That's not a red card, Stephens made a genuine attempt to play the ball which is supposed to be a yellow these days.</t>
  </si>
  <si>
    <t>[["sent", 0.639579563645297], ["card", 0.4875114182895597], ["red", 0.47729960745746813], ["willock", 0.16469688444687838], ["final", 0.1564797469787956], ["might", 0.14333370548282473], ["decis", 0.1048389716248568], ["score", 0.10480711457184269], ["tree", 0.10305209645315255], ["foul", 0.10266473789132312], ["stephen", 0.10081980564913735]]</t>
  </si>
  <si>
    <t>Nice present for Arsenal this red card, to finally get a win. If the ref hadn't awarded that foul and red card Arsenal might have actually scored hahahaha. People that can still score this Arsenal team even if they have two player sent off 🙄.</t>
  </si>
  <si>
    <t>[["willock", 0.7800596893432077], ["gol", 0.34271269757271344], ["event", 0.3116621835316826], ["main", 0.30217024413883836], ["half", 0.19841590437033194], ["goal", 0.10479892357557251], ["shot", 0.10255433327999722], ["ff", 0.09100658786746173], ["live", 0.09082945762961739], ["sky", 0.09062807911890279]]</t>
  </si>
  <si>
    <t>Willock! 2-0!. Willock gets a goal as he tends to do at times.. Reacted well to Lacazette’s shot to secure the deal. Willock my boy! Big big appetite for scoring. Wish Guendouzi had half of that. Where’s everybody who was calling for willock’s head when he got subbed on?</t>
  </si>
  <si>
    <t>[["joe", 0.7603189326385676], ["sub", 0.5258296863212557], ["thank", 0.38133746426838117]]</t>
  </si>
  <si>
    <t>Needed that one. Thank you Arsenal. Arteta's subs worked hugely today. Joe Willock , a goal scoring CM. We really don't need Ceballos. A second sub now as KT leaves the pitch... ↩️ Kieran Tierney. 🔛 Sead Kolašinac. #SOUARS 🔴⚪️ 0-1 🟡🟡 (70).</t>
  </si>
  <si>
    <t>[["sheet", 0.5969459528383767], ["half", 0.5911835978930312], ["clean", 0.5423628702005083]]</t>
  </si>
  <si>
    <t>Arsenal back into the top half? RT Arsenal: 3️⃣ points. 2️⃣ goals. 1️⃣ clean sheet. That one felt good 😁. Season is already done. 2 academy products on the score sheet. Trust the process and let him experiment for the rest of the season. #Arsenal.</t>
  </si>
  <si>
    <t>node</t>
  </si>
  <si>
    <t>timestamp</t>
  </si>
  <si>
    <t>split</t>
  </si>
  <si>
    <t>query</t>
  </si>
  <si>
    <t>summary</t>
  </si>
  <si>
    <t>None</t>
  </si>
  <si>
    <t>Arsenal just please fuckin win. Win please Arsenal. #COYG please win Arsenal.</t>
  </si>
  <si>
    <t>Arsenal second goal,.. #SOUARS.. Huge three points - some worries in the second half but overall that's a big moral boost. Need momentum off the back of this. #AFC #SOUARS.</t>
  </si>
  <si>
    <t>[["lad", 0.7071067811865475], ["boy", 0.7071067811865475]]</t>
  </si>
  <si>
    <t>It’s now or never lads, LET’S GO! #MUFC. Good luck lads! Let’s do this, with you all the way 💙🦊💙. Here we goooooooooo, come on boys #LEIMUN. Hope the lads will win over leicester city. Here we go!! Do us proud lads 👹⚽️♥️#MUFC #LEIMUN. All the best lads @ManUtd #LEIMUN.</t>
  </si>
  <si>
    <t>[["dive", 0.7071067811865475], ["we", 0.5206709372968986], ["morgan", 0.4784368036160775]]</t>
  </si>
  <si>
    <t>How is Wes Morgan still playing in the Prem. Martial isn't it too early for a dive? Martial vs Wes Morgan. Lmao 😂 😂 😂. Wes Morgan has never been fit since they won premier league. We can eat from Wes Morgan, if we are serious. Martial should've got a yellow for that pathetic dive.</t>
  </si>
  <si>
    <t>[["rashford", 1.0]]</t>
  </si>
  <si>
    <t>Get Rashford off already. Come on Rashford. Rashford today is not the day…. Rashford really. What is Rashford doing ffs. Rashford will not kill me. Rashford don start. Take Rashford off now! Rashford better than that man. Interesting plays from Rashford today.</t>
  </si>
  <si>
    <t>[["pogba", 0.7071067811865475], ["brandon", 0.5982735391773742], ["william", 0.3769201139766605]]</t>
  </si>
  <si>
    <t>Brandon Williams on the pitch almost guarantees this. Brandon Williams is like paper wtf. Brandon Williams doing the work. Not even going to a foul on Brandon Williams ? #LEIMUN. Brandon williams is not a Manchester United quality left back. Pogba what tf are you doing?</t>
  </si>
  <si>
    <t>[["wtf", 0.35355339059327373], ["yellow", 0.35355339059327373], ["stupid", 0.35355339059327373], ["unnecessari", 0.35355339059327373], ["card", 0.35355339059327373], ["book", 0.35355339059327373], ["tackl", 0.35355339059327373], ["poor", 0.35355339059327373]]</t>
  </si>
  <si>
    <t>Pogba has been so so poor these last few games man ffs. Maguire getting booked in the first 10 minutes... stupid challenge what is he thinking. Maguire own goal then red card is gonna be unbelievably funny. Maguire with a stupid tackle smh get a yellow 10 mins in perfect 🤦🏽‍♂️.</t>
  </si>
  <si>
    <t>[["sent", 0.5], ["ball", 0.5], ["greenwood", 0.5], ["pass", 0.5]]</t>
  </si>
  <si>
    <t>Maguire is going to get sent off this match! What a ball by Rashford... but headed over by Greenwood. That was a top top pass from Rashford. Great run by Greenwood. That pass is the precision we need from Rashford. Good pass rashford... you take my note very quick... keep passing.</t>
  </si>
  <si>
    <t>[["ndidi", 0.5], ["ball", 0.5], ["pass", 0.5], ["cost", 0.3995374074462448], ["almost", 0.3006158013996161]]</t>
  </si>
  <si>
    <t>Up the Vardy, up the Ndidi, up the damn Leicester City. @ChimpInATopHat A great pass. Ndidi should do better. I can’t do this. Ndidi uaaaa😂😂 fuck Man U😂😂😭😭. Why the fuck are they passing the ball at the back. #LEIMUN. Matic is gonna cost us I can already see.</t>
  </si>
  <si>
    <t>[["link", 0.8029419662239291], ["live", 0.5960572110766306]]</t>
  </si>
  <si>
    <t>English Premier League. Leicester City vs Manchester United - live stream online free. 🕹Link 1:. 🕹Link 2:. 🕹Link 3:. 🕹Link 4:. 🖥WATCH|| ♠. Leicester vs Manchester United.. 🛑Live stream links ↓↓↓↓. Live 1 ••. Live 2 ••. Live 3 ••. Live 4 ••. #️⃣ #LEIMUN. RTWET 🔁 + LIKE💗.</t>
  </si>
  <si>
    <t>[["fuck", 0.7776088740627288], ["bad", 0.29375554645843643], ["harri", 0.29375554645843643], ["cost", 0.29375554645843643], ["away", 0.22709973292550917], ["gea", 0.22395346543091688], ["give", 0.1863277552600713]]</t>
  </si>
  <si>
    <t>No way Iheanacho just turned Matic like that, we’re fucked. Ei matic go cost we o! what sort of sluggishness is this. Why the fuck is maguire the captain of this team? Who did this to us for God’s sake?? 😒. De gea why tf will you drop that again? 🤦‍♂️.</t>
  </si>
  <si>
    <t>[["shit", 0.4472135954999579], ["ball", 0.4472135954999579], ["80m", 0.4472135954999579], ["mad", 0.4472135954999579], ["touch", 0.4472135954999579]]</t>
  </si>
  <si>
    <t>We can't win this match, these guys are moving mad #LEIMUN. He doesn’t know what to do with the ball🙆🏾‍♂️. Greenwood’s first touch is out of this World. Maguire for £80m was the biggest robbery ever, he’s so shit #LEIMUN. Harry Maguire. The man, the myth, the legend. £80m..</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</si>
  <si>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</si>
  <si>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[["offsid", 0.5140248590884873], ["vardi", 0.38774357673878873], ["iheanacho", 0.19387178836939437], ["fumbl", 0.19387178836939437], ["lmao", 0.19387178836939437], ["david", 0.19387178836939437], ["shit", 0.19387178836939437], ["kill", 0.19387178836939437], ["ball", 0.19387178836939437], ["wtf", 0.19387178836939437], ["spill", 0.19387178836939437], ["mad", 0.19387178836939437], ["degea", 0.19387178836939437], ["mistak", 0.19387178836939437], ["almost", 0.19387178836939437], ["pass", 0.19387178836939437], ["net", 0.14710305249607483], ["stiff", 0.12667529755663123], ["matic", 0.11384514060134614], ["nervou", 0.09262247716373119]]</t>
  </si>
  <si>
    <t>David de gea you can’t say anything to vardy you fuckin fumbled it. Iheanacho should have given vardy but he was offside anyways. Iheanacho gotta get subbed off for that wtf are you doing dog. If iheanacho had passed the ball we would be having a very different conversation.</t>
  </si>
  <si>
    <t>[["wrong", 0.35355339059327373], ["done", 0.35355339059327373], ["cost", 0.35355339059327373], ["poor", 0.35355339059327373], ["live", 0.35355339059327373], ["jog", 0.35355339059327373], ["bro", 0.35355339059327373], ["heart", 0.2922811631774034], ["attack", 0.19892642270865896]]</t>
  </si>
  <si>
    <t>Maguire was poor there if he decided to pass to the right we would have been finished. De Gea will give me a heart attack one day. Sums up pogba , gives the ball away and jogs back. De Gea what is wrong with you man bro please what is wrong with you.</t>
  </si>
  <si>
    <t>[["rashford", 0.7593288337586408], ["yellow", 0.422922070325837], ["harri", 0.422922070325837], ["play", 0.2563075634571829]]</t>
  </si>
  <si>
    <t>Why is rashford playing as lb ? 😭😭. When last did Rashford have a good game for us ?? Rashford has been lingarding for some games now. Ole and Rashford are the sh****** of them all. Maguire forgets he is on a yellow 😂. Harry Maguire is nervous..I don't feel him today.</t>
  </si>
  <si>
    <t>[["tieleman", 0.5773502691896257], ["auba", 0.5773502691896257], ["aubameyang", 0.5773502691896257]]</t>
  </si>
  <si>
    <t>Aubameyang for the golden vardy no see goal score o. Once vardy hears that auba is on 22 goals, goodbye maguire. Tierney's long throw, lovely touch by Auba, who then finishes with an overhead kick. 22 league goals for Auba, now just one behind Vardy.</t>
  </si>
  <si>
    <t>[["laca", 0.5461877856839013], ["boot", 0.49422066732047176], ["golden", 0.4911583469206211], ["auba", 0.4649605499536786]]</t>
  </si>
  <si>
    <t>Auba one behind Vardy in Golden Boot race. Auba going for the golden boot now! Just 1 off Vardy against a down and out Watford. Tierney with a goal and an assist though 😍😍😍. Laca telling Auba he needs two more goals to equal Vardy for the Golden Boot 😭😂😂. Vardy golden boot bet rn.</t>
  </si>
  <si>
    <t>[["pogba", 0.45899655139373124], ["lindelof", 0.3353675478055946], ["ff", 0.3353675478055946], ["poor", 0.3353675478055946], ["chanc", 0.3353675478055946], ["wast", 0.3353675478055946], ["miss", 0.3353675478055946], ["pass", 0.2836334457539206], ["ball", 0.18451526097207557]]</t>
  </si>
  <si>
    <t>Rashford man you have to do better then that ffs. Pogba is the best passer of the ball on this man u team. Rashford can't miss chances like that one earlier in these games. Rashford how can you waste such a god/good pass from Pogba #leimun.</t>
  </si>
  <si>
    <t>[["marcu", 0.7071067811865475], ["shit", 0.7071067811865475]]</t>
  </si>
  <si>
    <t>This Marcus is high #LEIMUN. Rashford is soooo shit its unreal fucking sub him now. Marcus what is that mate 🙈 #LEIMUN. Leicester are playing shit. Marcus Rashford who has been turning up for the past couple of games #LEIMUN #MUFC. Marcus Rashford... what the absolute fuck?!</t>
  </si>
  <si>
    <t>[["aubameyang", 1.0]]</t>
  </si>
  <si>
    <t>Jamie Vardy coming out in the second half when he hears Aubameyang is one goal behind him. Golden Boot EPL (as now): Vardy (23) Aubameyang (22) Ings (21) UPDATE: Jamie Vardy: 23. Pierre-Emerick Aubameyang: 22. Danny Ings: 21.</t>
  </si>
  <si>
    <t>Maguire</t>
  </si>
  <si>
    <t>[["nice", 1.0]]</t>
  </si>
  <si>
    <t>Pogba that was NICE 🥺. Nice one there Leicester.. Nice shoot Martial. Nice one Martial. Keep it out like that. Kai.. Should've scored that!. Nice one Pogba. Nice ball, Martial... Nice footwork Pogba. Nice Martial. Nice play! #LEIMUN. Chelsea nice. Leicester just get the job done.</t>
  </si>
  <si>
    <t>Bruno (disallowed)</t>
  </si>
  <si>
    <t>[["mount", 0.7071067811865475], ["second", 0.5330685947333379], ["half", 0.46458354825480463]]</t>
  </si>
  <si>
    <t>Mount let’s gooo, leicester it’s up to you to stop these red goats. Good half, we still have barnes, gray perez on the bench. go all out second half now. Need a vardy and iheanacho masterclass the second half please. Leicester have nothing to lose the come in hard second half.</t>
  </si>
  <si>
    <t>[["2nd", 0.6324555320336759], ["win", 0.31622776601683794], ["giroud", 0.31622776601683794], ["fuck", 0.31622776601683794], ["abeg", 0.31622776601683794], ["job", 0.31622776601683794], ["lord", 0.2319942092541664], ["work", 0.2148922680613103]]</t>
  </si>
  <si>
    <t>Chelsea is leading by two goals... Leicester for do the lord's work 💔😂. Leicester a come out mad 2nd half they have to win. Leicester in the 2nd half is like when u were in pe and your playing 2 on 2 first goal wins. They need to go all out but need to defend incase they mess up.</t>
  </si>
  <si>
    <t>[["fuck", 0.7071067811865475], ["king", 0.46188870099834256], ["power", 0.4529987865284157], ["stadium", 0.2853960884347341]]</t>
  </si>
  <si>
    <t>I'm fucking nervous #LEIMUN. Vardy give me that goal please and let us have a fucking day. Ah to the king power stadium😂. FUCK MANCHESTER UNITED. @UnitedStandMUFC What the fuck is lingard gonna do. An even opening 10 at the King Power... #MUFC #LEIMUN. What fucking pressure???</t>
  </si>
  <si>
    <t>Ayoze for Iheanacho</t>
  </si>
  <si>
    <t>[["find", 0.5119337511627715], ["auba", 0.4877743683512015], ["golden", 0.4451385883472111], ["boot", 0.4391351556619698], ["aubameyang", 0.3301695810125299]]</t>
  </si>
  <si>
    <t>Vardy you just gonna let aubameyang try and take the golden boot away from you? I fear the rage vardy is coming back with in the second half when he finds out auba is only one goal behind him and Chelsea are already winning 2-0…… united please don't fuck up 🙏🏾.</t>
  </si>
  <si>
    <t>Lindelöf</t>
  </si>
  <si>
    <t>[["2nd", 1.0]]</t>
  </si>
  <si>
    <t>After Leicester Man Utd hear scores. Them go come all out for the 2nd half. Pls and pls, it's 2nd half of the game, let's get the f**king point and move on to the champions league @ManUtd #LEIMUN #MUFC. Maguire skinned less than a minute into the 2nd half.</t>
  </si>
  <si>
    <t>Evans</t>
  </si>
  <si>
    <t>[["left", 0.5019343123856539], ["shoot", 0.3819668621815389], ["better", 0.3819668621815389], ["auba", 0.3819668621815389], ["foot", 0.30875214411341545], ["pass", 0.29371034327622525], ["matic", 0.24419852181651847], ["use", 0.20373618047067898], ["leg", 0.16622542857001568]]</t>
  </si>
  <si>
    <t>Martial shoot, not every goal should be a finesse 😂. Martial needs to be better in the box today man, he’s better than this. Am i blind or did matic make a forward pass. Martial do you not have a left foot or what. @_majesticmaya loooool don’t want auba or vardy to win it tbh.</t>
  </si>
  <si>
    <t>Bruno (penalty)</t>
  </si>
  <si>
    <t>[["lindelof", 0.5], ["bulli", 0.5], ["brandon", 0.42002138286754875], ["bodi", 0.3561275739971696], ["iheanacho", 0.2743606384034143], ["william", 0.27126009277818963], ["pogba", 0.21885929528754638]]</t>
  </si>
  <si>
    <t>Lindelof has been top in this match.. Brandon Williams is not Manchester United quality #LEIMUN. Iheanacho has bodied Pogba on every encounter, again I ask, how? Pogba yane?? Na Iheanacho dey body you like that?... haba. Iheanacho bullying pogba. You love to see it.#LEIMUN.</t>
  </si>
  <si>
    <t>Gray for Choudhury</t>
  </si>
  <si>
    <t>[["boot", 0.5897061341710066], ["golden", 0.5895681437981902], ["aubameyang", 0.5519565917166345]]</t>
  </si>
  <si>
    <t>Aubameyang closing in Vardy for the Golden boot be like. Someone tell Vardy that Aubameyang is coming for his golden boot. @copo2496 Just don’t let vardy score so my man @Aubameyang7 can win golden boot 😂. The race to the golden boot is heatin up btw Aubameyang and Vardy 🔥🔥.</t>
  </si>
  <si>
    <t>Barnes for Albrighton</t>
  </si>
  <si>
    <t>[["ayoz", 0.7528743306157175], ["perez", 0.6581642973452262]]</t>
  </si>
  <si>
    <t>Ayoze Perez on, man Rodgers is going for it. Ayoze Perez will come on now and score. God. Gg ayoze perez ganti iheanacho 🤡 this doesn't look good. I had a bad dream about Ayoze Perez and Vardy the other day. Leicester need a goal and they bring on Ayoze Perez 🤣🤣.</t>
  </si>
  <si>
    <t>Praet for Tielemans</t>
  </si>
  <si>
    <t>[["ighalo", 0.7071067811865475], ["almost", 0.7071067811865475]]</t>
  </si>
  <si>
    <t>Why will Ighalo come on? 🤷🏾‍♂️. Where is Ighalo in all this 🤦🏾‍♀️. Nope. Ighalo will come and almost score. Vardy almost breaking red hearts 😅. Dream almost come true for Vardy 😂. #LIEMUN. Oh boy. Vardy almost broke twitter. Did you see that near post? Vardy almost scored!</t>
  </si>
  <si>
    <t>Lingard for Greenwood</t>
  </si>
  <si>
    <t>[["gea", 0.47880583082152217], ["boot", 0.4025513794171866], ["golden", 0.39757152599386064], ["corner", 0.3260247294627049], ["ff", 0.3260247294627049], ["brandon", 0.2835940057402404], ["ball", 0.2456724215676925], ["aubameyang", 0.22092490368231177], ["william", 0.16083085565100497], ["pick", 0.1503167341645058]]</t>
  </si>
  <si>
    <t>Vardy to score the winner and win the golden boot. De gea why the fuck don’t you pick up the ball????!!!! 😡😡. Why did De gea let that ball roll out for a corner? Just gave away a silly corner fuck you de gea. Brandon Williams should just go and play in league 2 ah. What is this?🤮.</t>
  </si>
  <si>
    <t>Matic</t>
  </si>
  <si>
    <t>[["yellow", 0.7071067811865475], ["mark", 0.4848814793872251], ["morgan", 0.3241604865554718], ["we", 0.3109500714781921], ["brandon", 0.2512369060291161]]</t>
  </si>
  <si>
    <t>No way maguire just let williams mark wes morgan. How can Brandon be marking Wes Morgan for a corner kick... How. United has no game plan. 2 cb on yellows. The pressure is too much. #LEIMUN. Both Lindelof and Maguire on a yellow.. lord help us 😶.</t>
  </si>
  <si>
    <t>Mctominay for Bruno</t>
  </si>
  <si>
    <t>[["daniel", 1.0]]</t>
  </si>
  <si>
    <t>We need Daniel James. WHAT A FREEKICK BY DANIEL JAMES!!!!!! Fresh Daniel James is better than fatigued Rashford. If this Ole puts in Daniel James, it shall never be well with him! Oh great... Daniel James is warming up.... 🤮. Daniel James. For what???? Better sit down.</t>
  </si>
  <si>
    <t>Hirst for Thomas</t>
  </si>
  <si>
    <t>[["poor", 0.408248290463863], ["ndidi", 0.408248290463863], ["lingard", 0.408248290463863], ["mata", 0.408248290463863], ["tire", 0.408248290463863], ["jonni", 0.31740685037956257], ["evan", 0.25674804380713906]]</t>
  </si>
  <si>
    <t>Be lying to yourselves that we don't need a Ndidi or a Ndidi kind of dmf. It's no surprise we've been useless since Fernandes has been poor. He don tire but we need on for when we get our penalty 😈. Jonny evans, after all these years, finally coming through for united.</t>
  </si>
  <si>
    <t>Pogba</t>
  </si>
  <si>
    <t>[["pen", 0.35355339059327373], ["choudhuri", 0.35355339059327373], ["foul", 0.35355339059327373], ["johnni", 0.35355339059327373], ["kill", 0.35355339059327373], ["miss", 0.35355339059327373], ["pleas", 0.35355339059327373], ["we", 0.2587528655957491], ["morgan", 0.24092935592407203]]</t>
  </si>
  <si>
    <t>This Fernandes needs to be topped by a pen miss. @MusteeJr guy him and This fernandes don kill us today. Two fouls on martial just give us two penalties ref 😂. Wes morgan is a fucking idiot... quality from evans to get a touch but thats been given because of wes morgan.</t>
  </si>
  <si>
    <t>Williams</t>
  </si>
  <si>
    <t>[["rodger", 0.32353748710331276], ["brendan", 0.3166225011413558], ["gol", 0.24474463115242376], ["thank", 0.24474463115242376], ["convert", 0.24474463115242376], ["varchest", 0.24474463115242376], ["anoth", 0.24474463115242376], ["award", 0.24474463115242376], ["rashford", 0.24474463115242376], ["foul", 0.24474463115242376], ["lead", 0.24474463115242376], ["fuck", 0.24474463115242376], ["surpris", 0.24474463115242376], ["evan", 0.24474463115242376], ["martial", 0.24474463115242376], ["bottl", 0.12796303371168735]]</t>
  </si>
  <si>
    <t>If you want your team to absolutely bottle it, brendan rodgers is your guy. Evans is doing the lord’s work for Manchester United,don’t be surprised. Martial is one on one with the keeper and gets fouled. How was that not a red.</t>
  </si>
  <si>
    <t>Evans (red)</t>
  </si>
  <si>
    <t>[["foul", 0.6030226891555273], ["score", 0.30151134457776363], ["fernandez", 0.30151134457776363], ["bring", 0.30151134457776363], ["love", 0.30151134457776363], ["pen", 0.30151134457776363], ["penchest", 0.30151134457776363], ["bottl", 0.30151134457776363]]</t>
  </si>
  <si>
    <t>Bruno fernandez would be no better than lingard without penalties. Leicester have 5 wins in 18 games in 2020 how have they bottled top 4 like this. Leicester need a goal and they bring on barnes 😹😹😹😹. So evans got the ball, morgan fouled martial, so how was it a pen??</t>
  </si>
  <si>
    <t>Ighalo for Rashford</t>
  </si>
  <si>
    <t>[["red", 0.4472135954999579], ["fuck", 0.4472135954999579], ["barn", 0.4472135954999579], ["vardi", 0.4472135954999579], ["champion", 0.38186215470192886], ["leagu", 0.23276875822670048]]</t>
  </si>
  <si>
    <t>And If De Gea don't fucks we are into the Champions league 🤞. Once a red. always a red. 🤩🤩. Vardy we are coming for youuuuuu. Lets go we in champions league. Fucking VAR For Manchester divided. Fucking Leicester city doing shit again😬. Barnes should be fucking scoring that.</t>
  </si>
  <si>
    <t>Fosu-Mensah for Martial</t>
  </si>
  <si>
    <t>[["love", 0.408248290463863], ["johnni", 0.408248290463863], ["varchest", 0.408248290463863], ["fuck", 0.408248290463863], ["save", 0.3354107713824356], ["jess", 0.33326445989311565], ["lingard", 0.23579963197345444], ["gea", 0.2327365057469631]]</t>
  </si>
  <si>
    <t>Only 1-0 up and we’re bringing on jesse lingard???????? fucking hell. Loving the faith we have in our youth players with Jesse Lingard coming on 👏🏽👏🏽. I'd pay top dollar for Jesse Lingard to just score 2 own goals and call it a day for his career.</t>
  </si>
  <si>
    <t>Lingard</t>
  </si>
  <si>
    <t>[["greenwood", 0.4156320360920231], ["lingard", 0.40772485824386673], ["rashford", 0.3823651248754097], ["sub", 0.25407275145256936], ["ole", 0.25407275145256936], ["lingardinho", 0.25407275145256936], ["incom", 0.25407275145256936], ["bring", 0.20234622089200197], ["take", 0.19609069477531835], ["bet", 0.19466267289287603], ["we", 0.1862839391617564], ["pitch", 0.1835034604250584], ["morgan", 0.17277516326445225], ["guy", 0.16327708600070084], ["still", 0.12008542777640677]]</t>
  </si>
  <si>
    <t>😂😂😂 lingard into this game?🤣 I swear ole wants united to lose. How rashford is still on the pitch is beyond me.. never seen a performance this bad. How you take off greenwood before bruno or rashford loool and brings on lingard nah i am done.</t>
  </si>
  <si>
    <t>[["took", 0.3162277660168379], ["brought", 0.3162277660168379], ["fuck", 0.3162277660168379], ["substitut", 0.3162277660168379], ["wtf", 0.3162277660168379], ["without", 0.3162277660168379], ["ff", 0.3162277660168379], ["pen", 0.3162277660168379], ["laugh", 0.27124472963526647], ["bruno", 0.22356668005478053], ["fernand", 0.16953497766098832], ["iheanacho", 0.16256167028266894], ["fourth", 0.14586236978320202]]</t>
  </si>
  <si>
    <t>@tomiwale_ He brought him in to press. Lingard is good at that. Why did he substitute greenwood? Martial or Rashford should have been substituted. @carlo_george My point is United get pens for something similar to Leicester pen appeal in the first half.</t>
  </si>
  <si>
    <t>[["yellow", 0.6324555320336759], ["pen", 0.31622776601683794], ["maguir", 0.31622776601683794], ["wtf", 0.31622776601683794], ["ball", 0.27694390179306333], ["kick", 0.25240339697621583], ["brendan", 0.24492264268746028], ["rodger", 0.20003224514810267], ["free", 0.19050597154647614], ["pogba", 0.15265017281232945]]</t>
  </si>
  <si>
    <t>Brendan rodgers this is what you call karma my friend. 😉. Pogba and joking around in possession. Wtf is your problem?! Jamie Vardy should score this free kick and it is game on! One of those yellow card unless it's a second yellow tackles by Maguire...</t>
  </si>
  <si>
    <t>[["freekick", 0.5], ["mctominay", 0.5], ["ing", 0.44083637066612474], ["demarai", 0.3941191720441913], ["gray", 0.3076850308793087], ["aubameyang", 0.23593069808297332]]</t>
  </si>
  <si>
    <t>83.' Maguire concedes a freekick in a dangerous area. Man are relying Demarai Gray free kicks to save their fuck Leicester. Golden Boot race -. Vardy 23. Ings 22. Aubameyang 22. Mctominay comes on for bruno, we're all good boys.</t>
  </si>
  <si>
    <t>[["johnni", 0.7071067811865476], ["boot", 0.5015141017484634], ["golden", 0.49848129929560236]]</t>
  </si>
  <si>
    <t>So vardy wan win this golden boot. Johnny Evans Johnny Sins #LEIMUN. 1 goal away from tying Vardy for the golden boot come on Ingsy!!!!! Vardy's gonna hear the news that Aubameyang is closing in on his golden boot at half time... Auba hunting down Vardy for the Golden Boot like:.</t>
  </si>
  <si>
    <t>[["spit", 0.7071067811865476], ["brandon", 0.5791737538737899], ["william", 0.4056571986588463]]</t>
  </si>
  <si>
    <t>Pogba, why you dey spit on me? This Brandon Williams kid is ass. Brandon Williams has had a good game. Love you Brandon Williams. Just smash them all. Brandon Williams has been outstanding today #mufc. I never want to see Brandon Williams play football for my club ever again.</t>
  </si>
  <si>
    <t>[["evan", 0.5983458374937494], ["sent", 0.27758400312353093], ["johnni", 0.27758400312353093], ["card", 0.27758400312353093], ["men", 0.27758400312353093], ["champion", 0.27758400312353093], ["agent", 0.23000652697966595], ["jonni", 0.22295538739861118], ["award", 0.21331982926632598], ["brendan", 0.21014657457309208], ["rodger", 0.1813595764917868], ["histori", 0.1776162414642027]]</t>
  </si>
  <si>
    <t>Jonny evans completes his double agent performance w a red card. Leicester are down to 10 men and that should do it. Jonny Evans gets sent off. He shouldn’t even have been eligible for today, as he should have been sent off last Sunday too.</t>
  </si>
  <si>
    <t>[["mctominay", 0.5773502691896257], ["lingard", 0.5773502691896257], ["ighalo", 0.5773502691896257]]</t>
  </si>
  <si>
    <t>@OlukorodeOre It should have been lingard 😃😃. Hopefully McTominay isn't injured. Need him in Europa. @Tjkxy_ Mctominay??? He did us a favour. Ighalo is just coming in. Ole fuck you!!!! But... congrats!🙄♥️. They no do ighalo well o. This na FK. #LEIMUN.</t>
  </si>
  <si>
    <t>[["lingard", 0.5205058727040446], ["bet", 0.44862708856189754], ["assist", 0.31430942320893196], ["3rd", 0.28224899152364746], ["spoil", 0.28224899152364746], ["end", 0.28224899152364746], ["finish", 0.2307470145183585], ["wtf", 0.22900825006757308], ["whole", 0.19119358268490752], ["penchest", 0.16254325118866206], ["guy", 0.14614794164742118]]</t>
  </si>
  <si>
    <t>I just remembered that guy that bet on lingard not to score or assist all through the pl season😂😭. Someone bet on lingard not scoring in the whole season and lingard scored in the final minute of the season😭😭😂😂😂.</t>
  </si>
  <si>
    <t>[["where", 0.24253562503633297], ["seal", 0.24253562503633297], ["omg", 0.24253562503633297], ["haha", 0.24253562503633297], ["bloke", 0.24253562503633297], ["said", 0.24253562503633297], ["hahahaha", 0.24253562503633297], ["laugh", 0.24253562503633297], ["hahaha", 0.24253562503633297], ["bottler", 0.24253562503633297], ["knew", 0.24253562503633297], ["fuck", 0.24253562503633297], ["jess", 0.24253562503633297], ["98th", 0.21638102387804162], ["3rd", 0.2146239230635664], ["brendan", 0.17717363551260704], ["cut", 0.1720197388045325], ["ticket", 0.17097584295269647], ["rodger", 0.16562920120259766], ["finish", 0.11296061729899065], ["minut", 0.10955720842215302]]</t>
  </si>
  <si>
    <t>Haha imagine it being lingard that ensures united finish in a top 4 position. Wheres that lad who had a bet on jesse lingard not to get a goal or assist this season🤣🤣🤣. 98th minute goal in the last game of the season, my god hahaha.</t>
  </si>
  <si>
    <t>[["babi", 0.5773502691896257], ["lingardinho", 0.5773502691896257], ["norwich", 0.28299876893344006], ["bournemouth", 0.2798454744653498], ["tottenham", 0.2482243658376455], ["watford", 0.2419077272727416], ["liverpool", 0.23408728335172244]]</t>
  </si>
  <si>
    <t>Lingardinho really sealed the win. 2020 doing it's thing. #LEIMUN. The 19-20 Premier League season is over 🚨. 1⃣ Liverpool. 2⃣ Man City. 3⃣ Man United. 4⃣ Chelsea. 5⃣ Leicester. 6⃣ Tottenham. 7⃣ Wolves. 8⃣ Arsenal.... 1⃣8⃣ Bournemouth. 1⃣9⃣ Watford. 2⃣0⃣ Norwich.</t>
  </si>
  <si>
    <t>[["gea", 0.8328642531082792], ["fuck", 0.5534773128994432]]</t>
  </si>
  <si>
    <t>See de Gea. WHAT THE FUCK DE GEA. What the fuck is De Gea doing. De gea must be fucking kidding me. De Gea almost fucked up. De Gea what is this ? De Gea pls. Today is not that day. De Gea fucking useless idiot. De gea nearly fucked up again 😭. De Gea ffs. Please de gea please.</t>
  </si>
  <si>
    <t>POGBA TO FERNANDES WHAT A GOAL!!! Offside tho... Beautiful pass from pogba to Fernandes but he's offside #LEIMUN. Oh shit.... Offside. #LEIMUN. Omo Bruno fernandes goal Na offside.. Thank God 🙇. Offside, that would’ve been an awesome goal from Bruno Fernandes.</t>
  </si>
  <si>
    <t>[["lingard", 0.7071067811865475], ["jess", 0.7071067811865475]]</t>
  </si>
  <si>
    <t>That is the only way Lingard can score 😂😂😂. Jesse fucking Lingard. You could not make this up 😂😂😂😂. Omg, who is that guy who had that Jesse lingard bet? Kasper has just had you off 😂. Have to feel for this lad. Jesse Lingard's ruined his day. #LEIMUN.</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</si>
  <si>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</si>
  <si>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[["stop", 0.8107924105089978], ["ball", 0.585333808233395]]</t>
  </si>
  <si>
    <t>Pogba needs to stop losing the ball. Needs to play it simple. Pogba stop this holding on to ball and losing possession. Pogba loves losing the ball. Pogba stop playing w me.</t>
  </si>
  <si>
    <t>[["matic", 1.0]]</t>
  </si>
  <si>
    <t>Fuck this Matic! We need a new DM! Matic!! 🤧🤧. #LEIMUN. Look at Matic 😂. Fuck off Matic. Matic🤦🏾‍♂️. What the hell was Matic? #LEIMUN. We what Matic is doing.. 🤣🤣🤣. Since Matic signed the new contract he has been Matic. Matic??? Matic ?????? Matic is a bastard what the fuck.</t>
  </si>
  <si>
    <t>[["gea", 0.5773502691896257], ["fumbl", 0.5773502691896257], ["wtf", 0.5773502691896257]]</t>
  </si>
  <si>
    <t>De Gea gotta go!!!!!!! Wtf is that?????? De Gea wtf man my heart can't handle this. Nearly a costly fumble from De Gea again. De Gea moaning at Vardy for going after a ball he fumbles. 👀. De Gea??? Offside but wtf was that save? @lauriewhitwell And what was De Gea doing?</t>
  </si>
  <si>
    <t>[["boot", 0.5402637875590619], ["golden", 0.5359490361755039], ["aubameyang", 0.47813793115067676], ["overhead", 0.43847210774442197]]</t>
  </si>
  <si>
    <t>Aubameyang overhead kick!! He's got a brace and is one off of Vardy for the Golden Boot! Vamos!!!. That overhead kick moves Auba 1 goal away from Vardy in race for Golden Boot. Aubameyang is taking this golden boot from Vardy.</t>
  </si>
  <si>
    <t>[["second", 0.845150732332059], ["half", 0.5345280531820424]]</t>
  </si>
  <si>
    <t>Vardy's masterclass in the second half🙏🙏🙏. I better not see Rashford and Matic in second half. Vardy coming back into second half and fucking destroy us. Jamie Vardy second half hat trick Inshallah. Leicester will go all out on the second half.</t>
  </si>
  <si>
    <t>[["job", 1.0]]</t>
  </si>
  <si>
    <t>Leicester do your job today please🙏🏾. Vardy. You have one job 😭🙏. @PSGAlexis_ Just need Leicester to finish the job 😉. Now Leicester city do the job for us 😂😂👻.</t>
  </si>
  <si>
    <t>[["jonni", 0.7648012304387133], ["evan", 0.6080206832725121], ["agent", 0.21304911788659855]]</t>
  </si>
  <si>
    <t>Agent Evans at work. #LEIMUN. Go on Jonny Evans 🤣🤣👌🏾. Jonny Evans forever the villain. Agent Jonny Evans! 😎 #GGMU. Jonny Evans. Once a red, always a red. Jonny Evans still a united lad at heart, cheers man #leimun. @ManUtd @B_Fernandes8 Jonny Evans today. Our SAVIOR.</t>
  </si>
  <si>
    <t>[["fuck", 1.0]]</t>
  </si>
  <si>
    <t>WHOOO FUCKING ELSE🤑🤑🤑🤑🤑🤑🤑 💉 💉. Fuck la leicester. Fuck sake leicester :'( COME ONNNNNNNNNNNN GET THE FUCK INNNNNNNNNN. Fucking hell Leicester 🤬🤬. LETS FUCKING GOOOOOO. Fuck me!!!! 1 more goal lads! #LEIMUN. HAVE MY FUCKING KIDSSSSSSSSS. BRUNO FUCKING FERNANDES!!!! ⚽️🔴.</t>
  </si>
  <si>
    <t>[["lingard", 0.7609924278530975], ["greenwood", 0.4956337994912755], ["jess", 0.41861397677584816]]</t>
  </si>
  <si>
    <t>I saw that smile from Lingard. If you know Lingard tell him to leave Greenwood alone oh! @footballqueeen But what will lingard is going to play here better than Greenwood 💔💔💔. Lmao Lingard coming on to replace the next Jesse Lingard.</t>
  </si>
  <si>
    <t>[["we", 0.734589615346879], ["morgan", 0.6785116778836784]]</t>
  </si>
  <si>
    <t>Wes Morgan omg. Wes Morgan 🤦🏾‍♂️🤦🏾‍♂️. Wes Morgan. What a let-off. #LEIMUN Premier League. Anybody else than Wes Morgan it would have been a goal 😳 #MUFC. How did Wes Morgan miss that? Oh my Wes Morgan. Wes Morgan pls 😭. Wes Morgan... hmmm.</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</si>
  <si>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</si>
  <si>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[["award", 0.6871367655312764], ["histori", 0.5177483607018456], ["14th", 0.5096858840950642]]</t>
  </si>
  <si>
    <t>Manchester United's 14th penalty of the season is more than any team has been awarded in Premier League history.. 0.6% of all penalties ever awarded to any team in PL history have been given to Manchester United in 2019-20.</t>
  </si>
  <si>
    <t>[["card", 0.5773502691896257], ["johnni", 0.5773502691896257], ["agent", 0.5773502691896257]]</t>
  </si>
  <si>
    <t>And now he gets a red card. Tweet 2: Once a red, always a red. So long Johnny Evans. That red card beckoned.. #LEIMUN #GGMU. Johnny Evans doing more for United than Maguire. Biggest game of the season agent Evans saves us with a penalty and a red card #LEIMUN.</t>
  </si>
  <si>
    <t>[["lingard", 0.6157999654105554], ["omg", 0.4633343522085086], ["jess", 0.4633343522085086], ["assist", 0.27444712414441874], ["bet", 0.2728917854252126], ["guy", 0.20406324564629444]]</t>
  </si>
  <si>
    <t>Omg that guy had a bet on lingard to not score or assist this season and he does it in 97th min of last game. Where's the don that bet lingard wouldn't score or assist all season 😭. We love you lingard we do we love u lingard we dooo ohhhh lingard we love u.</t>
  </si>
  <si>
    <t>[["maguir", 1.0]]</t>
  </si>
  <si>
    <t>Looool maguire. Ffs Maguire!! 😤. Maguire 🤦🏾‍♀️. Oh Maguire 🙈. Why did Maguire do that 😂😂😂😂. Maguire to get a red? Maguire 🤦🏾‍♂️. Maguire why. Feel we seeing a Maguire 🔴 today 🤣😂. Maguire is off to a good start 🤦‍♂️. Maguire 🤦. Maguire lol. Harry Maguire doing Harry Maguire things.</t>
  </si>
  <si>
    <t>[["ball", 0.8371675488880876], ["rashford", 0.5469465194045132]]</t>
  </si>
  <si>
    <t>I can’t lie that was a good ball from rashford. Beautiful ball by Rashford. What a ball by Rashford 👏🏾. Rashford whatta ball. Great ball from Rashford, and a run to match from Greenwood. Can’t criticise the header, because I can’t head a ball for fucking shit. #MUFC #LEIMUN.</t>
  </si>
  <si>
    <t>[["wtf", 0.5773502691896257], ["wake", 0.5773502691896257], ["captain", 0.5773502691896257]]</t>
  </si>
  <si>
    <t>Maguire wtf are you doing 😭😭😭. Fix up Matic. WTF. #LEIMUN. Matic last 10 minutes legit a 0/10 wtf. MATIC WAKE UP. Maguire and Williams.. WAKE UP. #mufc. Matic!!!! Wtf you doing. Matic needs to wake fucking up. Find a man when you’re passing it ffs. How is maguire a captain.</t>
  </si>
  <si>
    <t>[["ball", 0.5775741689655018], ["gea", 0.3760384850599926], ["wtf", 0.3760384850599926], ["fuck", 0.3760384850599926], ["matic", 0.3204144417057765], ["pass", 0.3174717473397482], ["maguir", 0.19682359561950344]]</t>
  </si>
  <si>
    <t>De Gea wtf man my heart can't handle this. What a greedy fuck. Why has he not passed that. De Gea fucks up then has a go at Vardy 😂. So why Iheanacho no pAss that ball long time? Watching Maguire and Matic try to build from the back #LEIMUN. So how did De Gea drop that ball ?</t>
  </si>
  <si>
    <t>[["shit", 0.4472135954999579], ["fumbl", 0.4472135954999579], ["heart", 0.4472135954999579], ["kill", 0.4472135954999579], ["jog", 0.4472135954999579]]</t>
  </si>
  <si>
    <t>#Rashford shitting on himself again and again #mufc. My heart dropped lol de gea? I just don’t know anymore. De gea just kill us already will you. Pogba jogging like we are 6-0 up then. How did de gea even fumble that. De Gea tryna give me a heart attack.</t>
  </si>
  <si>
    <t>[["offsid", 0.7071067811865475], ["auba", 0.7071067811865475]]</t>
  </si>
  <si>
    <t>@tom_mcghee Fernandes should be allowed 5 yards extra for offside on account of. Goal by Bruno called offside. Manchester United 0 - 0 Leicester City. @StrettyNews Should remove offside when pogba make a pass like that. Auba again. One more to tie vardy 🤞🏻.</t>
  </si>
  <si>
    <t>[["bench", 0.8745057673322117], ["sancho", 0.4850151161589704]]</t>
  </si>
  <si>
    <t>Rashford need to be benched next season 😪. Rashford would be dropped off at had a good bench. If we get Sancho Rashford has to drop to the bench. Rashford go chop Bench when sancho come. Facts.</t>
  </si>
  <si>
    <t>[["aubameyang", 0.40782331209639444], ["emerick", 0.406821368909426], ["pierr", 0.3899004207883658], ["ing", 0.35044029261861254], ["goal", 0.3128213202174938], ["danni", 0.28741020457005], ["jami", 0.2781478854523166], ["boot", 0.26130070695820623], ["golden", 0.2593061383302696]]</t>
  </si>
  <si>
    <t>Race for golden boot. Vardy 23 goals. PEA 22 goals. Ings 21 goals. Premier League Golden Boot race as it stands: Jamie Vardy - 23 goals. Pierre-Emerick Aubameyang - 22 goals. Danny Ings - 21 goals. #afc. UPDATE: Jamie Vardy: 23. Pierre-Emerick Aubameyang: 22. Danny Ings: 21.</t>
  </si>
  <si>
    <t>Leicester will be committing bodies forward in the second half then. Pogba more of that in the second half. I better not see Rashford and Matic in second half. Vardy coming back into second half and fucking destroy us. Leicester will go all out on the second half.</t>
  </si>
  <si>
    <t>[["golden", 0.5432283801984045], ["boot", 0.543019189712523], ["peac", 0.48594497120947927], ["aubameyang", 0.34445452028085694], ["auba", 0.23503543342499603]]</t>
  </si>
  <si>
    <t>Leicester can now do this for world peace 🤣🤣🤣🤣. Don't let Vardy find out Aubameyang needs one more goal to match him for the Golden boot. @442oons Leicester should win today because Vardy's going to win his first Golden Boot. Auba hunting down Vardy for the Golden Boot like:.</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</si>
  <si>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</si>
  <si>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Iheanacho masterclass 2nd half? Vardy Party 2nd half I'm hearing 😅. Bruno, Matic, Martial especially need to wake up 2nd half. Bit of this from Maguire in the 2nd half needed. Leicester City go turn up bad 2nd half but United Nyame dey.</t>
  </si>
  <si>
    <t>[["foot", 0.7346253784797474], ["left", 0.6359728066717257], ["use", 0.2363559655849108]]</t>
  </si>
  <si>
    <t>Martial needs to trust his left foot more. Martial use your left foot ffs. Martial should use his left foot. Must Martial bend to his right before shooting? What happened to your left foot! Martial do you not have a left foot or what. Martial just keep it on ya left foot man.</t>
  </si>
  <si>
    <t>[["auba", 0.6974423271094505], ["golden", 0.5093348738152489], ["boot", 0.5041350877212961]]</t>
  </si>
  <si>
    <t>Auba hunting down Vardy for the Golden Boot like:. Laca telling Auba he needs two more goals to equal Vardy for the Golden Boot 😭😂😂. Auba gets his brace in 🚲 style. A live look at the Golden Boot race. 👀. 1. Vardy - 23. 2. Aubameyang - 22. 3. Ings - 21.</t>
  </si>
  <si>
    <t>[["poor", 1.0]]</t>
  </si>
  <si>
    <t>For Man UTD? Only Martial and Greenwood have been good. The rest? Poor! Rashford has been poor. Please get Rashford off! The guy has been poor for far too long. Really really poor from Rashford #mufc.</t>
  </si>
  <si>
    <t>[["pick", 0.5975350697822618], ["ball", 0.5058941135310061], ["gea", 0.49481664838431544], ["fuck", 0.3770669314017049]]</t>
  </si>
  <si>
    <t>De Gea pick up the fucking ball. WHAT THE FUCK IS DE GEA DOING ??? De gea why the fuck don’t you pick up the ball????!!!! 😡😡. De Gea why didn't he pick it up. De gea pick the ball up u useless twat. Why didn't De Gea stop the fucking ball.</t>
  </si>
  <si>
    <t>[["wtf", 0.5773502691896257], ["poor", 0.5773502691896257], ["forward", 0.32276689621814986], ["mctominay", 0.28617343771863696], ["bring", 0.2809900744595756], ["push", 0.26135073299789113]]</t>
  </si>
  <si>
    <t>Wtf Leicester is doing 🤦🏻‍♂️. Bruno and Rashford? absolute shit man wtf. Poor from Fernandes. Bring on McTominay man. This is where coaching comes in. Take Bruno off and bring on McTominay and push Pogba forward. Remove Bruno and bring on Fred and push Pogba forward..</t>
  </si>
  <si>
    <t>[["pen", 0.894427190999916], ["jonni", 0.3526816622344579], ["evan", 0.2749829906076733]]</t>
  </si>
  <si>
    <t>Should give some of these pens to martial. Most deserving player. No you're right comments, this isn't a pen 🙄. Oh so what are u trying to say that wasn’t a pen ? That’s a pen any day of the week fam. Jonny Evans giving away a pen so utd get top 4 you love to see it.</t>
  </si>
  <si>
    <t>BRUNO FUCKING FERNANDES. Fuck Rodgers man. WHOOO FUCKING ELSE🤑🤑🤑🤑🤑🤑🤑 💉 💉. Fuck la leicester. COME ONNNNNNNNNNNN GET THE FUCK INNNNNNNNNN. Fucking hell Leicester 🤬🤬. Leicester fucked up smh. LETS FUCKING GOOOOOO. Fuck me!!!! 1 more goal lads! #LEIMUN. HAVE MY FUCKING KIDSSSSSSSSS.</t>
  </si>
  <si>
    <t>[["foul", 1.0]]</t>
  </si>
  <si>
    <t>Morgan fouled Martial, not Evans. @UnitedStandMUFC Was Wes Morgan that fouled but oh well. @AndresStein05 @OptaJoe Two players fouled Martial, but whatever. @bernardooooV3 Where is the luck in this? that was a foul on Martial.</t>
  </si>
  <si>
    <t>[["johnni", 0.5773502691896257], ["pen", 0.5773502691896257], ["harvey", 0.4490817859871615], ["barn", 0.36284829175278577]]</t>
  </si>
  <si>
    <t>Harvey Barnes aaah. Johnny Evans, United through and through #LEIMUN. AHHH HARVEY BARNES YOU HAVE TO BURY THAT. Oh so what are u trying to say that wasn’t a pen ? That’s a pen any day of the week fam. Clear pen. That Man United player, is his name actually ‘B Fernandes pen’?</t>
  </si>
  <si>
    <t>[["greenwood", 0.5045722388088183], ["lingard", 0.4796829311263721], ["take", 0.3359730264524378], ["sub", 0.3359730264524378], ["bring", 0.3359730264524378], ["masterclass", 0.2873874041448965], ["ole", 0.2525859128990121], ["incom", 0.17402975160146725]]</t>
  </si>
  <si>
    <t>Just when you think Ole is getting it right, he brings on Lingard. What is Lingard doing in a game where we need our best legs. Even Greenwood is shocked to see that it's Lingard replacing him. Ole has to be careful. Who is he afraid of???</t>
  </si>
  <si>
    <t>[["fuck", 0.4472135954999579], ["jess", 0.4472135954999579], ["brought", 0.38673617153865436], ["award", 0.36648478021551056], ["we", 0.31670260556209134], ["morgan", 0.31575221239158774], ["histori", 0.2562984702849178], ["nah", 0.22457767837348505]]</t>
  </si>
  <si>
    <t>He brought off Greenwood… for Lingard!??? Nah sack Ole today. Wes Morgan has pushed up 😭 man if he scores. The 14 penalties awarded to Manchester United this season account for 0.6% of all penalties ever awarded to any team in PL history 😂🤯.</t>
  </si>
  <si>
    <t>[["still", 0.7071067811865475], ["yellow", 0.7071067811865475]]</t>
  </si>
  <si>
    <t>Leicester go win still. Still valid. @FootyJay Ighalo should have come on and still should. #LEIMUN.. ⚽ Leicester City 0-1 Manchester United.. 🕕 83'.. 🎙️ Yellow Card! Jamie Vardy (Leicester City) is shown the yellow card... Premier League #PL. 2nd yellow for maguire, no?</t>
  </si>
  <si>
    <t>[["mctominay", 1.0]]</t>
  </si>
  <si>
    <t>Mctominay on Bruno off. McTominay on, Bruno off #mufc. Mctominay on tv off. Change for United, Fernandes makes way for McTominay. 0-1 with 4 minutes to play. Mctominay last minute goal 😁😁. Mctominay on, tv off. Fernandes off, McTominay on. #LEIMUN. Mctominay will sort us outtt.</t>
  </si>
  <si>
    <t>[["touch", 0.7071067811865475], ["jess", 0.7071067811865475]]</t>
  </si>
  <si>
    <t>#LEIMU. Is it only me that's noticing Lingard never touch ball🤔🤔🤔. Has lingard even had his first touch? 😂. If you're reading this, you have the same number of EPL goals as Jesse Lingard this season #LEIMUN. Jesse Lingard comes on, Man United are down to 10 men #LEIMUN.</t>
  </si>
  <si>
    <t>[["card", 0.5], ["sent", 0.5], ["johnni", 0.5], ["jonni", 0.3953658131757688], ["evan", 0.30608148224265874]]</t>
  </si>
  <si>
    <t>Jonny evans completes his double agent performance w a red card. Jonny Evans of all players to get sent off 😂. Thank you jonny evans, still loyal to your club gg. Jonny Evans - bad red card. Hope #Arsenal gets Leicester in one of the first 3 games next season when he’s suspended.</t>
  </si>
  <si>
    <t>[["ighalo", 0.5773502691896256], ["champion", 0.5059908614706637], ["brendan", 0.41189332152304325], ["rodger", 0.4045704203448989], ["leagu", 0.2780406111371301]]</t>
  </si>
  <si>
    <t>Brendan Rodgers is the definition of a bottle job. Brendan Rodgers... Get it right up ye. Why they do ighalo like that😂. Never pin your hope on Brendan Rodgers. Ole bringing on Ighalo by this time.. 🤡🤡🤡. #LEIMUN. Manchester United are in the champions league.</t>
  </si>
  <si>
    <t>[["omg", 0.447213595499958], ["hahahaha", 0.447213595499958], ["jess", 0.447213595499958], ["ticket", 0.3533835210065077], ["bet", 0.29530980641210186], ["assist", 0.29437864415587495], ["lmao", 0.20118047924113241], ["cut", 0.18613570816302674], ["lingard", 0.16165807156401338]]</t>
  </si>
  <si>
    <t>Omg that guy had a bet on lingard to not score or assist this season and he does it in 97th min of last game. Imagine being that guy that bet on jesse lingard to have no goals or assists for the whole season to be robbed by that 😂😂😂.</t>
  </si>
  <si>
    <t>[["laugh", 1.0]]</t>
  </si>
  <si>
    <t>Just couldn't stop laughing after @JesseLingard GOAL. 😂😂😂. @ManUtd. #LEIMUN. Actually laughed at that Lingard goal. Retweet if u see ur team here who laugh last laugh best 😂😂😂 Manchester United forever #. 🙏 @ManUtd don't let my enemies laugh at me #LEIMUN.</t>
  </si>
  <si>
    <t>[["back", 0.5496541364331312], ["next", 0.45497334240589615], ["ucl", 0.4448374200783346], ["champion", 0.3684730019190392], ["offici", 0.2829373235900741], ["ticket", 0.277800963778862]]</t>
  </si>
  <si>
    <t>#MUFC Manchester United are back in the UCL!!!. OFFICIAL: Manchester United will be playing Champions League football next season. Bruno Fernandes had the ticket. 🎟. Congratulations Manchester United Chelsea! Champions League football next season. We r back. Here we go @UCL.</t>
  </si>
  <si>
    <t>Martial what was that dive?😂😂😂. Manchester diving United. Easy o. Martial diving course he try and get the softest penalty VAR will ever give #LCFC. Hei dont dive ! #LEIMUN. That Martial dive, LOL, absolute cheats of a team, needs a yellow. Offside aside what a dive by Martial.</t>
  </si>
  <si>
    <t>[["maguir", 0.778896384796947], ["yellow", 0.39962187265217136], ["book", 0.39962187265217136], ["pogba", 0.2718917791074046]]</t>
  </si>
  <si>
    <t>Pogba stop this holding on to ball and losing possession. But maguire too how you fit tackle like that so early. 9th minute. Maguire goes into the book for a wild challenge. Maguire now at risk for the rest of the game with that yellow 🤦🏾‍♀️.</t>
  </si>
  <si>
    <t>[["rashford", 0.7224817607672793], ["maguir", 0.6913899806611402]]</t>
  </si>
  <si>
    <t>I here you harry maguire is there really anything more i need to say. Rashford’s touch has been horrendous Maguire on a yellow, not the best opening 10 minutes.... 👀. How tf is Rashford’s long range passing so good post lockdown. I can’t lie that was a good ball from rashford.</t>
  </si>
  <si>
    <t>[["matic", 0.9760247807661236], ["ndidi", 0.2176594296841751]]</t>
  </si>
  <si>
    <t>What was that by Matic? In the box all you do is get the ball out. Matic sometimes need to look where he is passing 😳😳😳😳. Matic has not been the same since he signed new contract ffs. Oof, Ndidi could've / should've scored there. What was Matic doing?! #LEIMUN.</t>
  </si>
  <si>
    <t>[["touch", 0.9111752859468956], ["maguir", 0.3205090093113115], ["greenwood", 0.25890842634003747]]</t>
  </si>
  <si>
    <t>It’s so funny to watch Maguire play football 🤣🤣. Greenwood’s first touch is out of this World. What a wonderful touch by greenwood, someone clip that up please #LEIMUN. Harry Maguire there, with the touch of Chris Grayling and a government contract.</t>
  </si>
  <si>
    <t>[["gea", 0.8162990458084084], ["offsid", 0.5638716839989049], ["k3k3", 0.08339296100566988], ["long", 0.06651947463618146], ["garbag", 0.06576750980046676]]</t>
  </si>
  <si>
    <t>De gea trying his best to give me a heart attack the dick head. De Gea needs the season to end more than any other player. Iheanacho should have given vardy but he was offside anyways. David de gea in goal is like putting a 5’”2 striker from pro clubs in goal.</t>
  </si>
  <si>
    <t>[["rashford", 0.818584683845471], ["maguir", 0.5743858593085401]]</t>
  </si>
  <si>
    <t>Literally don't understand it. Every time Rashford gets the ball he's almost at left back. Really need a player that can actually play ball to come and bench this useless Rashford. Can Rashford pass to a red shirt. Maguire could get a red in this game.</t>
  </si>
  <si>
    <t>[["offsid", 0.6964671488406461], ["pogba", 0.6200989745837954], ["half", 0.268574120142403], ["like", 0.24140984713892852]]</t>
  </si>
  <si>
    <t>I need Pogba to start playing like a kaffir so we can win this game. Maguire should better give Iheanacho his slippers at half time. Bruno scores off a lovely Pogba pass, but he’s offsides. What a ball from Pogba 👏🏻 unlucky it was offside from bruno.</t>
  </si>
  <si>
    <t>[["vardi", 0.7554652508425409], ["goal", 0.655188716912476]]</t>
  </si>
  <si>
    <t>What a goal that would have been, Leicester sitting so deep. Vardy might not get golden boot unless he scores now. Aubameyang one more goal and he will be equal to Vardy's 23 goals. Auba needs one more goal to be on par with vardy? cmon lad.</t>
  </si>
  <si>
    <t>[["aubameyang", 0.887741651236377], ["auba", 0.3309746715001611], ["goal", 0.3199539458820146]]</t>
  </si>
  <si>
    <t>22 goals for Aubameyang, one goal behind Jamie Vardy with 23 in the the race for the Golden Boot! Don’t let Vardy find out that Auba is one goal behind him. Aubameyang go do then Vardy just go start dey score is this la? United Nyame🙏🏻.</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</si>
  <si>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</si>
  <si>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[["rashford", 0.8790715264996319], ["pogba", 0.40860521004096184], ["footbal", 0.24550974242377469]]</t>
  </si>
  <si>
    <t>Rashford's run of miserable form in front of goal continues. What a pass from pogba, and rashford take it easy mate control the ball!! Rashford and pogba are 2 of da most overrated players i have ever seen playing football. Rashford come on man you have to score that 🤦🏾‍♂️.</t>
  </si>
  <si>
    <t>[["rashi", 0.6439579416345302], ["afraid", 0.5763545606737659], ["stat", 0.30339242546969486], ["aint", 0.29022745390285726], ["return", 0.2772267140176968]]</t>
  </si>
  <si>
    <t>Rashy ain’t really been at it since football returned tbh! Don’t need stats for this one I’m afraid! #LEIMUN.</t>
  </si>
  <si>
    <t>[["chevrolet", 0.7434360322385993], ["save", 0.44986582883193527], ["goalless", 0.35140978083975805], ["end", 0.34847491724489654]]</t>
  </si>
  <si>
    <t>Schmeichel is a beast. Excellent save! What a save ! (Leicester) Need to push from the wings and create but we end up giving Pogba and Fernandes space in midfield.. United applied some pressure towards the end of the half, but the first 45 ends goalless. #MUFC #LEIMUN Chevrolet.</t>
  </si>
  <si>
    <t>[["knee", 1.0]]</t>
  </si>
  <si>
    <t>Vardy u crackhead im on my KNEES. On my knees Leicester now. Leicester I’m on my knees. Nah Leicester need to do the job on my KNEES. Leicester... I. Am. On. My. Knees. PLEASE.</t>
  </si>
  <si>
    <t>[["reaction", 0.9291472657693343], ["see", 0.2720891071501833], ["want", 0.25030556582622354]]</t>
  </si>
  <si>
    <t>One day an analyst will present a Utd manager with data that shows overplaying Matic leads to pain. Because apparently they can't see it. Come on Leicester!!! Need Leicester City to score, just want to see the Man Utd fans reaction!!! #LEIMUN.</t>
  </si>
  <si>
    <t>[["point", 1.0]]</t>
  </si>
  <si>
    <t>Battle for the top four as it stands: 3️⃣ Chelsea - 66 points. 4️⃣ Man Utd - 64 points. --------- 5️⃣ Leicester - 63 points.</t>
  </si>
  <si>
    <t>[["martial", 0.7919138902163025], ["matic", 0.45140214274530055], ["pass", 0.4112280340728648]]</t>
  </si>
  <si>
    <t>What a pass from Matic, Martial should have shot with his left. This is why Martial isn't a top striker, just wasted Matic's through pass. What a pass that is from Matic into Martial. Martial goes down under pressure but never a penalty there.</t>
  </si>
  <si>
    <t>[["footbal", 1.0]]</t>
  </si>
  <si>
    <t>All we need is Leicester City win for the victory of football. Do your thing, vardy. Rashford you don't want CL football. Scenes if Leicester get CL football. Greenwood and Williams are the only man Utd players playing great football, the rest.....</t>
  </si>
  <si>
    <t>[["onth", 0.7825171773376618], ["forward", 0.6226289964107824]]</t>
  </si>
  <si>
    <t>The theme song for celebrating Manchester United's draw (WIN) today is Jollof Onthe Jet 🎵🔴🛩⚽️. At this point I’m taking Bruno off and pushing Pogba forward. Take off Bruno and Matic. Bring on Fred McTominay and push Pogba forward.</t>
  </si>
  <si>
    <t>[["fight", 0.7937246960894493], ["keep", 0.4386311377583003], ["sub", 0.42143069632689373]]</t>
  </si>
  <si>
    <t>Sub rashford off now. Keep. Fighting. Reds. 😤. #MUFC #LEIMUN. Come the fuck on Leicester, I want you in the Champions League more than I want 1k subs (and I'd quite like that tbf) #LEIMUN. Fuck Ayoze Perez being subbed 😭😭😭. A strange sub if your hunting’s goal #LEIMUN.</t>
  </si>
  <si>
    <t>[["hit", 0.5333395181711311], ["bar", 0.528593904798595], ["corner", 0.48599239928851334], ["vardi", 0.44715638204162284]]</t>
  </si>
  <si>
    <t>Vardy has hit bar 😂. This team go kill me walahi. #Vardy just hit bar. Some people heart dey do gbimgbim like this😂😂. #LEIMUN. De Gea has let that go out for a corner.... What the hell is De Gea doing? Leave a flick go hit the bar then a easy deflection roll out for a corner.</t>
  </si>
  <si>
    <t>[["footbal", 0.9096083219197476], ["yellow", 0.3517278952755116], ["card", 0.22113386981509559]]</t>
  </si>
  <si>
    <t>Both Lindelof and Maguire on a yellow.. lord help us 😶. If we don't beat Leicester I'm sorry but we don't deserve to be playing Champions League football! I hope we can all agree that Pogba is a VERY average footballer! Rashford invested his football talent into feeding kids man.</t>
  </si>
  <si>
    <t>[["pogba", 1.0]]</t>
  </si>
  <si>
    <t>The fuck was that pass from pogba #mufc. Pogba please take care of the ball!!! #MUFC #LEIMUN. Rashford has ACRES to make a run inside for that Pogba ball but he's standing on the wing waiting for it. Pogba lose the ball too easily still enuh. Pogba's head has started to touch.</t>
  </si>
  <si>
    <t>[["penalti", 0.72851844957738], ["jonni", 0.4241767328512798], ["evan", 0.27558230723379995], ["record", 0.27558230723379995], ["set", 0.2697658072999375], ["new", 0.1894382640414563], ["pen", 0.1696564326547863]]</t>
  </si>
  <si>
    <t>Wish Martial would just hit instead of playing for penalties. Manchester United have now officially had the most penalties in a Premier League season. Jonny Evans helping us get a penalty and giving us a chance for Champions League. Once a red always a red.</t>
  </si>
  <si>
    <t>[["bruno", 0.5474518350459662], ["fernand", 0.3138262555016954], ["might", 0.3087150606839948], ["never", 0.22726936766356856], ["perform", 0.21915036699317592], ["pen", 0.21451719748893544], ["still", 0.20929900023465894], ["seen", 0.20126844855065454], ["end", 0.19942270404767887], ["gooal", 0.16229013837037878], ["gol", 0.16229013837037878], ["fpl", 0.16229013837037878], ["fire", 0.16046882178400868], ["big", 0.1581152605650341], ["aw", 0.15764713104889047], ["min", 0.15047495749073964], ["assist", 0.14664821448814555], ["manag", 0.11676632217400736], ["mani", 0.11624368623737517], ["player", 0.10397733294830674]]</t>
  </si>
  <si>
    <t>Bruno Fernandes with another pen we can't beat this guy ffs. Get in. I'd take bruno off and put pogba further forward. I've never seen a player have so many awful performances and still manages to get a goal from a penalty in the end like Bruno Fernandes 😭.</t>
  </si>
  <si>
    <t>Manchester United were just awarded their 14th penalty of the season. #Arsenal got their 3rd today. 20 penalties in all competitions. Record 14th in the EPL. Penchester United. #LEIMUN. That was Manchester United's 1⃣4⃣th penalty of the season, a new Premier League record...👀.</t>
  </si>
  <si>
    <t>[["gea", 0.8131664790858716], ["point", 0.5820311652232092]]</t>
  </si>
  <si>
    <t>De gea of the best of bests. De gea, my goal keeper ❤️❤️❤️. Battle for the top four as it stands: 3️⃣ Man Utd - 66 points. 4️⃣ Chelsea - 66 points. --------- 5️⃣ Leicester - 62 points. 75’ De Gea what a save! #LEIMUN. Can De Gea act like he's a goalkeeper now?? 😭😭.</t>
  </si>
  <si>
    <t>[["lingard", 0.9866480173121569], ["histori", 0.11598395303115835], ["spot", 0.1143390247170929]]</t>
  </si>
  <si>
    <t>Lingard coming on for his final game in the league for utd. I agree with the lingard sub, lingard runs about a lot and covers space. Lingard to score and confirm 3rd place for us pls 🥺🥺. Man put on lingard we really need some good players.</t>
  </si>
  <si>
    <t>[["award", 1.0]]</t>
  </si>
  <si>
    <t>Man Utd have now been awarded a 14 penalties in a Premier League season and also Bruno Fernandes scoring all 4 of his Premier League. 😳🙄. 20 penalties awarded to Manchester United in the 2019/20 football season....</t>
  </si>
  <si>
    <t>[["anyon", 0.9521920885588794], ["love", 0.305499961515348]]</t>
  </si>
  <si>
    <t>Bruno Fernandes scores to put United where they want to be. Couldn’t have been anyone else. What a signing.. Does anyone love scoring penalties more than Bruno Fernandes?. Love a Leicester goal here to finish third.</t>
  </si>
  <si>
    <t>[["yellow", 0.877901140616668], ["maguir", 0.3385830067702791], ["free", 0.2464105829734064], ["kick", 0.15860673650274448], ["pogba", 0.12074126784897866], ["foul", 0.11915707617773402]]</t>
  </si>
  <si>
    <t>Maguire gives away a free kick in a dangerous area. Too many of those today. One of those yellow card unless it's a second yellow tackles by Maguire... Maguire 🤭... Attacking player has his back to goal, absolutely no need to foul.</t>
  </si>
  <si>
    <t>[["foul", 0.6915341396916056], ["red", 0.446178275354663], ["ref", 0.4080822550312123], ["jonni", 0.28175234549243305], ["evan", 0.27711003081931634]]</t>
  </si>
  <si>
    <t>Ref has to be a Leicester fan. Anytime we apply pressure to a Leicester player, he gives a foul. Ndidi actually fouled Pogba there and not the other way round. Dude Leicester have fouled us in our box like five times. Expected a red for maguire but where did Evans come from 😂.</t>
  </si>
  <si>
    <t>[["evan", 0.49890057650424297], ["tackl", 0.48127791537081654], ["card", 0.359105406831965], ["jonni", 0.3177463579885904], ["undoubtedli", 0.264465230544865], ["mctominay", 0.21826044991492813], ["johnni", 0.21141355947039767], ["min", 0.21050685487241397], ["sent", 0.16940894930999809], ["scott", 0.1483704851557902], ["danger", 0.14117622271806807], ["aw", 0.1109869885888993]]</t>
  </si>
  <si>
    <t>Agent Evans has been playing for Utd rather than Leicester. Jonny Evans of all players to get sent off 😂. Johnny Evans is my new favourite players... Mctominay is a cunt. Awful tackle from Jonny Evans. Given a penalty away and a red card against his former club. #mufc.</t>
  </si>
  <si>
    <t>[["lingard", 0.8929224725674718], ["legend", 0.36450737844681574], ["gol", 0.26424198955090816]]</t>
  </si>
  <si>
    <t>Man who in the world thought lingard will get a goal today lmao. Ffs schmeichel should be sacked immediately for letting lingard score. Lingard final game of the season loooool get that guy out my club. Lingard scores ahahhahahahaha what a final day this has turned out to be.</t>
  </si>
  <si>
    <t>[["jess", 0.5344873929579512], ["fifth", 0.41809532863339943], ["none", 0.379711587156547], ["fpl", 0.35175047459765607], ["assist", 0.3190001944085056], ["third", 0.31664641559359713], ["full", 0.26378809791646135]]</t>
  </si>
  <si>
    <t>Ole's tricky reds into the champions league barcelona better watch out for jesse lingard and the crew. Lingard scores and Utd finish third not a sentence I expected back in November or even 20 minutes ago. Breaking! Jesse Lingard has scored a premier league goal 🚨.</t>
  </si>
  <si>
    <t>[["codedli", 1.0]]</t>
  </si>
  <si>
    <t>Codedly i want Leicester to win.. 😂.</t>
  </si>
  <si>
    <t>[["premier", 0.6426700891794613], ["leimuc", 0.5592384421153842], ["leagu", 0.5236673766184227]]</t>
  </si>
  <si>
    <t>Pogba is starting Premier League #LEIMUC. Back on the Premier League Fan Wall. PLEASE DON’T MESS THIS UP UNITED 😬😬😬 #LEIMUN #MUFC. This is it! Let's go!. #LEIMUN Premier League.</t>
  </si>
  <si>
    <t>[["possess", 0.5328243236656378], ["yellow", 0.5328243236656378], ["finau", 0.4836165718779573], ["need", 0.44532178435994324]]</t>
  </si>
  <si>
    <t>We need this. #LEIMUN. Rashford needs confidence tbh, he’s desperate at times and forces a move and costs us possession. Also I need Finau to pull a Finau and shoot a +7 today. Homa, Wolff, English and Rodgers need to all shoot -8 or better. Maguire getting early yellow!!</t>
  </si>
  <si>
    <t>Great ball from Rashford. Fucking hell what a pass Rashford. Brilliant cross Rashford. Rashford plays that looping ball from the byline exactly like Ney does. The similarities are uncanny.</t>
  </si>
  <si>
    <t>Spread. The. Ball. Wide. 😩😩😩. See how they're pressing all of you now, Matic Williams especially. 😤😭. Hey matic dont give the ball away infront of goal ever again. Matic can’t make 5 yard passes lmao.</t>
  </si>
  <si>
    <t>[["kmt", 1.0]]</t>
  </si>
  <si>
    <t>Vardy needs to be easy kmt.</t>
  </si>
  <si>
    <t>[["half", 0.6024713017567074], ["sent", 0.6024713017567074], ["disench", 0.5235042130863483]]</t>
  </si>
  <si>
    <t>They have half of their first team out. They’re starting Wes Morgan in defence. We are SO bad man. Almost half the team looks like they're disenchanted in this match. #LEIMUN. Maguire needs taking off before he gets sent off.</t>
  </si>
  <si>
    <t>[["offsid", 0.62336727574359], ["pogba", 0.5735563341650084], ["pass", 0.5314568383897345]]</t>
  </si>
  <si>
    <t>POGBA TO FERNANDES WHAT A GOAL!!! Offside tho... Chance! Pogba finds Bruno with a great pass and Bruno finishes well past Schmeichel, but he’s ruled out offside. Better. Beautiful pass from pogba to Fernandes but he's offside #LEIMUN. Ffsssss pogba what a pass man.</t>
  </si>
  <si>
    <t>[["likeli", 0.7071067811865475], ["sksksksksk", 0.7071067811865475]]</t>
  </si>
  <si>
    <t>Leicester look likelier to win so far. Leicester and Manchester United are we playing for a draw and hoping wolves win sksksksksk.</t>
  </si>
  <si>
    <t>[["vardi", 1.0]]</t>
  </si>
  <si>
    <t>Need Leicester to win but Vardy not to score. Manchester United fans when Chelsea is winning 2-0 then Vardy scores a 96th minute winner. #LEIMUN #CHEWOL. Abeg make Vardy no score today o #LEIMUN. I don't see Vardy scoring because of selfish Kelechi #LEIMUN.</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</si>
  <si>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</si>
  <si>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Rashford should have scored that one. Rashford has to score there. Rashford’s got to score that man.</t>
  </si>
  <si>
    <t>[["half", 0.5436644845506964], ["defo", 0.48782599212914385], ["screamer", 0.4847922842234252], ["vardi", 0.4810729370884167]]</t>
  </si>
  <si>
    <t>Rodgers don’t take Iheanacho off at half time. Chelsea winning, Leicester will defo need a win here. Vardy's gonna hear the news that Aubameyang is closing in on his golden boot at half time... MOUNT! Now I need Vardy to score. All that’s needed is a Vardy screamer 🙏🏽😩.</t>
  </si>
  <si>
    <t>[["pl", 0.4407628708191092], ["footbal", 0.44074753665991445], ["dazn", 0.43180763221459856], ["cruis", 0.3909962045537609], ["vardi", 0.36977965954217623], ["god", 0.36796309707654445]]</t>
  </si>
  <si>
    <t>Iheanacho is mad tho. I don't need Vardy to score. Chelsea is on cruise, now leicester city do it for football world... #CHEWOL. Now all I want is a Leicester win. God please. HT: Chelsea 2-0 Wolves. Leicester 0-0 Man United. Premier League No DAZN #CHEWOL. Leicester pls win too.</t>
  </si>
  <si>
    <t>Vardy give me that goal please and let us have a fucking day.</t>
  </si>
  <si>
    <t>[["rob", 0.761152465905541], ["anoth", 0.6485729902223143]]</t>
  </si>
  <si>
    <t>Another day , another Martial goal to clinch victory for Manchester United 🙏🏿✊🏿😀 #LIEMUN. Pogba 🤝 being robbed off assists.</t>
  </si>
  <si>
    <t>[["sub", 0.41827475050321883], ["passion", 0.4156154779178841], ["half", 0.40832561508690235], ["goal", 0.3561272858502411], ["vardi", 0.34700899897694365], ["noth", 0.34533253664912983], ["second", 0.34508513399435115]]</t>
  </si>
  <si>
    <t>Can Leicester score in the second half? No passion for Champions League.. both teams don't deserve to qualify! #LEIMUN. West ham did nothing, Leicester have done nothing and yet United aren't winning comfortably.... #LEIMUN. Ole please sub Lingard in 😏. Last Minute Vardy goal🥵.</t>
  </si>
  <si>
    <t>[["sword", 0.921197160851693], ["genuinley", 0.3890961203080543]]</t>
  </si>
  <si>
    <t>Leicester genuinley win here. Vardy scores next. United need to put Leicester to the sword ⚔️.</t>
  </si>
  <si>
    <t>[["5min", 0.47180324119557204], ["without", 0.4626432882829316], ["vardi", 0.4524239096429511], ["run", 0.4445569465515607], ["half", 0.4013036464577027]]</t>
  </si>
  <si>
    <t>Vardy run us the 2 goals we need 🙏🏽. Vardy is going to score 5mins into the 2nd half😔. Leicester pls break Man U heart in the second half, score in 87minutes. Is that too much to ask 🙄🙄🙄 #LEIMUN #CHEWOL. I want Leicester to win without vardy scoring😭😤.</t>
  </si>
  <si>
    <t>[["best", 0.7101176888315666], ["eleg", 0.7040829979544416]]</t>
  </si>
  <si>
    <t>Leicester best win🤣. Pogba be one elegant footballer.</t>
  </si>
  <si>
    <t>[["martial", 0.7210694983913082], ["ball", 0.6928627414500705]]</t>
  </si>
  <si>
    <t>Rah matic with a through ball, martial shudda kept it on his left foot. Martial stopped in the box. Need to see more of those passes to our forwards. #MUFC #LEIMUN. It's a great ball in to Martial who's in behind the Leicester defence and..... #LEIMUN.</t>
  </si>
  <si>
    <t>[["scari", 0.5093884446583307], ["confus", 0.5093884446583307], ["weak", 0.5093884446583307], ["ff", 0.4707124784257375]]</t>
  </si>
  <si>
    <t>Leicester are winning every second ball , this is scary to watch. 🙆🏾‍♂️. Are the Manchester United players confused and thinking we're trying to qualify for Europa League again? 🤔. #LEIMUN #MUFC. Just go 4 4 2 FFS Leicester are so weak man,how are we even not winning 😖.</t>
  </si>
  <si>
    <t>[["draft", 0.7182551923293004], ["need", 0.6957797630658712]]</t>
  </si>
  <si>
    <t>Leicester I beg win for us and save our drafted tweets😌. Rashford is offering no running at all! Ole needs to learn from guns mistakes in the last few games and put fresh legs on! #MUFC. Leicester need a win, Manchester United need a draw #EPL.</t>
  </si>
  <si>
    <t>[["bone", 0.4766451968020224], ["asian", 0.4659726092480826], ["alert", 0.45305230251640943], ["slap", 0.45039942000277], ["olymp", 0.3841391120959219]]</t>
  </si>
  <si>
    <t>Asian lingard better score today. A Jamie Vardy goal would slap now. Don’t look now but I can feel a goal coming in my bones #LEIMUN. Red card alert. Goal alert for Leicester. Leicester, score just 1. And defend the Olympics way.</t>
  </si>
  <si>
    <t>[["book", 1.0]]</t>
  </si>
  <si>
    <t>LINDELOF BOOKED FFS. 63 mins: Lindelof booked for a poor challenge on Vardy. Both United centre halves booked against vardy and could get spicey.</t>
  </si>
  <si>
    <t>[["scatter", 0.5773502691896257], ["poor", 0.5773502691896257], ["penalti", 0.5773502691896257]]</t>
  </si>
  <si>
    <t>If Leicester scores now TL go scatter oh 🤣 #CHEWOL #LEIMUN. This is poor from Leicester... u need a goal. Penalty to United. Martial has been threatening that with those runs. #mufc. 😂 😂 😂 Penalty ❤️#LEIMUN. Another penalty lmao. Nothing Martial could do there but go down.</t>
  </si>
  <si>
    <t>[["penalti", 0.5490769913515661], ["record", 0.2798940160729872], ["got", 0.2798940160729872], ["bruno", 0.2798940160729872], ["gooal", 0.2798940160729872], ["set", 0.27398651227741205], ["big", 0.273376467852783], ["flood", 0.2732240012456268], ["heart", 0.23617323798970496], ["goe", 0.22996009621880162], ["statpad", 0.22811776672734907]]</t>
  </si>
  <si>
    <t>PENALTY to Man Utd... #LEIMUN. Fernandes will score now and statpad smh. Goaaaaaaaaaaaaaaaallllllll 😭😭😭 my heart goes outtttttt 😭😭😭 brunoooo finallyyyyy #LEIMUN. Manchester United Fans come out now😂😂. We are winning, let's flood the TL.</t>
  </si>
  <si>
    <t>[["buri", 0.4725294429508286], ["clear", 0.4421255625263175], ["aw", 0.25907270240719177], ["gol", 0.25907270240719177], ["manu", 0.25907270240719177], ["favor", 0.25907270240719177], ["min", 0.25907270240719177], ["fire", 0.25064706187649377], ["europa", 0.21944191764000687], ["goal", 0.21808115282936077], ["pl", 0.2092570679966949], ["bruno", 0.20813690751940428]]</t>
  </si>
  <si>
    <t>GOOOOOOOOOOOOOOOOOOOOL DEL UNITED. FERNANDES 🔴⚪. Leicester in the Europa league after being 14 points clear😂😂😂😂😂😂. GOAL Leicester 0-1 Man Utd (70 mins) #LEIMUN. So finally Manchester United again got favor 😁😁#LEIMUN. Martial wins a penalty and Bruno buries it!!! Man U up 1-0.</t>
  </si>
  <si>
    <t>[["control", 0.4985364611937826], ["swerv", 0.2492682305968913], ["eei", 0.2492682305968913], ["14th", 0.2492682305968913], ["btw", 0.2492682305968913], ["bless", 0.24855436554637783], ["yellow", 0.24759800216947622], ["dey", 0.24079826796047443], ["ole", 0.23127488227291415], ["nb", 0.22304131210612255], ["content", 0.22010451950318244], ["januari", 0.2085220863283782], ["blame", 0.208308572195775], ["alway", 0.20534366504563326], ["hmm", 0.2028139651603511]]</t>
  </si>
  <si>
    <t>Jonny Evans always a red 🔴🔴🔴. Nbs prayers Chelsea fans dey do for Leicester city to win dey over me eei but it's so unfortunate God has swerved them hmm. #LEIMUN. Ole needs to get Fred on now take back control of this game! #LEIMUN. Leicester are scoring 2 btw.</t>
  </si>
  <si>
    <t>[["assist", 0.6587721771411891], ["lead", 0.4324592729830795], ["14th", 0.4277296193604717], ["gea", 0.24450676595259666], ["save", 0.22802678145462205], ["appear", 0.20875856254918787], ["concedin", 0.20170686518459174]]</t>
  </si>
  <si>
    <t>That was Manchester United's 1⃣4⃣th penalty of the season, a new Premier League record...👀. De gea saved shu. Bruno Fernandes in the Premier League this season: • 14 appearances. • 8 goals. • 7 assists. #MUFC. BIG save from De Gea to maintain United's lead! 0-1. #LEIMUN.</t>
  </si>
  <si>
    <t>[["lingard", 0.7520616822024896], ["thier", 0.24188949117263955], ["hardcor", 0.24132150054557944], ["histori", 0.23970642657159066], ["profession", 0.23875137237047292], ["drug", 0.23128419940239087], ["must", 0.22784359575345114], ["materi", 0.22583197585174414], ["bottler", 0.2163101442668781]]</t>
  </si>
  <si>
    <t>Lingard to score. Leicester must just accept thier fate, they are not Champions League material #LEIMUN. I'm not surprised. Rodgers na professional bottler. That was how he bottled the league with Liverpool. Ole does hardcore drugs 😂 he just put Lingard on in a must win game?</t>
  </si>
  <si>
    <t>[["linda", 0.7893931469105672], ["lingard", 0.4340843579366986], ["carri", 0.4340843579366986]]</t>
  </si>
  <si>
    <t>Lingard is a big game player. Is Ole taking the piss Lingard on 😳. Why? Why? Why would you take off Greenwood for Linda?.. Linda?.. LINDAAAAA. You can be effing serious!!!! LINGARD! And you’re taking Greenwood off?!?! #MUFC #MUNLEI. Iheanacho don carry Man utd win 😂😂😂😂.</t>
  </si>
  <si>
    <t>[["anyon", 0.7613518657583949], ["yanit", 0.27073068112609183], ["nerd", 0.27073068112609183], ["pea", 0.2596804124600562], ["nah", 0.24137903454453655], ["love", 0.22766739062138108], ["rashford", 0.22037627542822874], ["shoulda", 0.2183053701656725]]</t>
  </si>
  <si>
    <t>Does anyone love scoring penalties more than Bruno Fernandes?. SHOULDA SUBBED IGHALO FOR RASHY BUT NOOOO. If Yanited win Europa, Leicester get CL or nah? Manchester United now has possession size of a pea hole 🕳, how will play in Champions League Ronald.</t>
  </si>
  <si>
    <t>[["book", 0.49133797845311844], ["fumbl", 0.4813201678232925], ["strike", 0.4360788962455009], ["pan", 0.4189574575202357], ["si", 0.40153173226240285]]</t>
  </si>
  <si>
    <t>That's a booking surely? #lcfc #LEIMUN. Pan U =penalty United. Man u= Manchester United. brother then sis🤣🤣. Leicester have fumbled today VAR strikes again for United.</t>
  </si>
  <si>
    <t>[["izinto", 0.5773855214328235], ["kujik", 0.5773855214328235], ["never", 0.5772797582450756]]</t>
  </si>
  <si>
    <t>Can Leicester score kujike izinto lol. When it comes to Penalty, B. Fernandes NEVER misses a goal.👏🏻👏🏻👏🏻. #LEIMUN. De Bruyne just broke the assist record. Pogba could never.</t>
  </si>
  <si>
    <t>[["barca", 0.489381184827167], ["assist", 0.4537173772340285], ["afraid", 0.4508301601842777], ["reopen", 0.421324855470247], ["champion", 0.4169941610673058]]</t>
  </si>
  <si>
    <t>Like Barca, Leicester has such a bad run after reopening the league :/ Bruno Fernandes in the Premier League this season: • 14 appearances. • 8 goals. • 7 assists. #LEIMUN #PL. Brendan Rodgers is afraid of playing Champions League football. Lol!</t>
  </si>
  <si>
    <t>[["second", 0.7015428415265904], ["jonni", 0.3857168097549197], ["evan", 0.3857168097549197], ["set", 0.33818269121771766], ["load", 0.30970178270154186]]</t>
  </si>
  <si>
    <t>Second goal loading #LEIMUN. 1 goal more in #LEIMUN for the bet to set. In second half maguire n lindelof have been better!!!! Jonny Evans always a RED. RED CARD: Jonny Evans. Johnny Evans is a true red. #LEIMUN. Game Set Match. Evans Red Card. 3rd spot sealed now. #GGMU #LEIMUN.</t>
  </si>
  <si>
    <t>[["card", 0.534716488854117], ["buzz", 0.27130852087893775], ["espn", 0.27130852087893775], ["jonni", 0.27130852087893775], ["sent", 0.27130852087893775], ["scott", 0.24282626744430316], ["tackl", 0.2335787048853033], ["penchest", 0.23302334828272317], ["danger", 0.23105198569997584], ["come", 0.22888030534151435], ["player", 0.22709974316364223], ["champion", 0.2176336570475035], ["red", 0.2170521086415625]]</t>
  </si>
  <si>
    <t>Buzzing that Leicester missed out on champions league 😂😂😂. Leicester 🤦🏼‍♀️🤦🏼‍♀️🤦🏼‍♀️🤦🏼‍♀️ Premier League Na ESPN. Leicester player red card fs. RED CARD Jonny Evans is sent off for a dangerous tackle on Scott McTominay. Leicester 0-1 Man Utd (90+4 mins) #LEIMUN.</t>
  </si>
  <si>
    <t>[["lingard", 0.9345469427418226], ["gol", 0.25703868638670474], ["ggmu", 0.2460754467892109]]</t>
  </si>
  <si>
    <t>That is the only way Lingard can score 😂😂😂. The end is near... Lingard scores 😂 😂 😂. GOAL! Leicester City 0-2 Manchester United (Lingard 90+8). Watch #LEIMUN live on Sky Sports Main Event or follow it here 👇. Lingard first premier league goal this season 😭😭.</t>
  </si>
  <si>
    <t>[["tackl", 0.629547751504704], ["maguir", 0.6041147837142264], ["yellow", 0.4885846463748987]]</t>
  </si>
  <si>
    <t>Wetin dey do Maguire. Why e go tackle opponent like that. Really there was no need for a tackle from Maguire. Maguire to get a red? Maguire with a useless tackle. An avoidable yellow card. Bad tackle by Harry 😔. #LEIMUN. Stupid tackle by Maguire. Maguire yellow in 10 minutes...</t>
  </si>
  <si>
    <t>Rashford’s passing has improved since the restart. Beautiful ball by Rashford. What a ball by Rashford 👏🏾. Rashford’s long balls are getting better every game. 3 sexy assists robbed. Brilliant cross Rashford. What a pass from Rashford. Rashford can ping a ball man icl.</t>
  </si>
  <si>
    <t>[["gea", 0.6182545965410979], ["pass", 0.5895961554304784], ["iheanacho", 0.5197476573852001]]</t>
  </si>
  <si>
    <t>God oo. Manchester united pass ball well na. OMG wetin be this ??? See Iheanacho smh.. pass the ball. Iheanacho should have just passed!! What a greedy fuck. Why has he not passed that. De Gea fucks up then has a go at Vardy 😂. De Gea catch the fucking ball.</t>
  </si>
  <si>
    <t>[["pogba", 0.6941612612123931], ["offsid", 0.38153829799973965], ["auba", 0.3229600594445343], ["vardi", 0.28192571661327104], ["ball", 0.26159741815597776], ["goal", 0.2572984392291445], ["move", 0.23269650812062181]]</t>
  </si>
  <si>
    <t>Ah Jesus that was such a good ball from Pogba. Beautiful pass from pogba to Fernandes but he's offside #LEIMUN. Auba is just 1 goal away from Vardy. Aubameyang BICYCLE GOAL! 3-0 to #Arsenal. PEA moves to just one off Jamie Vardy for the Golden Boot.</t>
  </si>
  <si>
    <t>[["bruno", 1.0]]</t>
  </si>
  <si>
    <t>Damn it. Brilliant ball by Pogba Bruno has the ball in the net but he had gone too early rightly called offside. #LEIMUN bruno scored but just off side. Lovely from Pogba and Bruno, just offside... #mufc. 32 mins. Pogba sends Bruno clear to net but it’s offside. #LEIMUN 0-0.</t>
  </si>
  <si>
    <t>[["find", 0.5832852941365706], ["aubameyang", 0.5784748056830445], ["auba", 0.5702150163175098]]</t>
  </si>
  <si>
    <t>Aubameyang go do then Vardy just go start dey score is this la? United Nyame🙏🏻. Don’t let Vardy find out that Auba is one goal behind him. Aubameyang 1 goal behind Vardy. Don't let Vardy find out Aubameyang needs one more goal to match him for the Golden boot.</t>
  </si>
  <si>
    <t>Ffs Rashford.. Wtf was that mate.. Should have scored 🤦🏻😣. Rashford scores that 9 times out of 10. Thank God he missed. Rashford should be scoring that. That would have been a goal if it was Greenwood. Damn rashford. Thought that was a certain goal for rashford then.</t>
  </si>
  <si>
    <t>[["second", 0.7489779246342504], ["half", 0.5062369566777238], ["kdb", 0.2681773742736211], ["vardi", 0.2451070588432188], ["assist", 0.22529899630752998]]</t>
  </si>
  <si>
    <t>Just need a KDB assist and a Leicester goal now! Vardy's masterclass in the second half🙏🙏🙏. Pierre-Emerick Aubameyang scores his second goal of the afternoon. As it stands, he's one goal behind Jamie Vardy in the Golden Boot race. Leicester will go all out on the second half.</t>
  </si>
  <si>
    <t>[["half", 0.6298021763564463], ["pleas", 0.6164749475438381], ["want", 0.39928498006427066], ["one", 0.2527436693620247]]</t>
  </si>
  <si>
    <t>Oh Allah, please i need a leicester win today abeg. Now all I want is a Leicester win. God please. LIve standings at the half: Chelsea is in 3rd. Man United 4th. Leicester in 5th. Premier League. Leicester please one goal 😂😂. Good end to the half - we’re finally creating #LEIMUN.</t>
  </si>
  <si>
    <t>[["vardi", 0.7400672016332995], ["noth", 0.4250431376551344], ["goal", 0.3876864460283951], ["wild", 0.3483361706237354]]</t>
  </si>
  <si>
    <t>West ham did nothing, Leicester have done nothing and yet United aren't winning comfortably.... Second half is going to be wild. More pressure from Leicester now that their only option is to win😂😂. Last Minute Vardy goal🥵. Please vardy do your thing and score.</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</si>
  <si>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</si>
  <si>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Can Martial and Rashford please step up now? Idc about your 20 goals stats if you don’t score in this half. #LEIMUN Manchester United Premier League. Why is Rashford when you need him?. #LEIMUN.</t>
  </si>
  <si>
    <t>[["hit", 0.55153737649206], ["vardi", 0.5301980752535405], ["bar", 0.4879650223422802], ["gea", 0.4202221558892328]]</t>
  </si>
  <si>
    <t>VARDY HITS THE BAR!!! #LEIMUN. De Gea doesn't even know where the goal is?? Vardy score this thing na. Vardy hits the post. Vardy hit woodwork. How’s De Gea putting his hands up as if it’s over and then it hits the crossbar? God does not want us in the top four, I’m telling you.</t>
  </si>
  <si>
    <t>[["ff", 0.8561830121457193], ["ole", 0.4020559024703942], ["half", 0.3245022357423751]]</t>
  </si>
  <si>
    <t>Manchester United living very dangerously! The two CBs on a yellow. Ole needs to react now and put the pressure back on Leicester City #LEIMUN. Can Leicester score ffs. Leicester have been all over us this half, not good enough man. So Ole no go sub Rashford!</t>
  </si>
  <si>
    <t>[["penalti", 0.9109659678081741], ["bruno", 0.33135011649201707], ["lead", 0.24565851460115]]</t>
  </si>
  <si>
    <t>Bruno is dead on his feet, lingard fred needed! Bruno Fernandes getting found out big time today. Nothing but a penalty merchant. Penalty!!!!!! Bruno should better score o. #LEIMUN. Penalty Manchester United. Penalty FC.... Martial finally got it? PENALTY to Man Utd... #LEIMUN.</t>
  </si>
  <si>
    <t>[["gooal", 0.4226074305367271], ["big", 0.4157782519883341], ["champion", 0.40351486508438605], ["final", 0.3279996403409137], ["bad", 0.3266882313396901], ["fernand", 0.3050510411287564], ["evan", 0.3008827389401301], ["leagu", 0.2963302779655232]]</t>
  </si>
  <si>
    <t>Finally! #LEIMUN. Fucks sakes man I want leicester to get champions league so bad they’ve been playing brilliantly 😢. GOOAAAAALLLLLL!!! Bruno Fernandes puts us ahead with a big, big goal from the spot! #MUFC #LEIMUN. CHAMPIONS LEAGUE FOOTBALL!!!!! MANCHESTER UNITED!!!!!!</t>
  </si>
  <si>
    <t>[["14th", 0.9367118392355669], ["record", 0.3501013142447791]]</t>
  </si>
  <si>
    <t>Bruno Fernandes, full time penalty merchant. He’ll break every Ronaldo Penalty record in 3 seasons. That’s what Portuguese do. That was Manchester United's 1⃣4⃣th penalty of the season, a new Premier League record...👀.</t>
  </si>
  <si>
    <t>[["lingard", 0.6096203005687467], ["histori", 0.41696420641285875], ["footbal", 0.33079719565987303], ["club", 0.3141139929547175], ["greenwood", 0.30804538643435214], ["save", 0.22424068136847794], ["jess", 0.18158937986878365], ["gea", 0.1518125413529326], ["sit", 0.15042613375467329], ["score", 0.15027953581556092]]</t>
  </si>
  <si>
    <t>Manchester United have won 14 penalties in the Premier League this season. The most by any club in history.. Jesse Lingard goal to cap off the season and I’m dying of laughter. Down to 10 men now as Greenwood comes off as a sub for Lingard.</t>
  </si>
  <si>
    <t>[["award", 0.45823177082846833], ["mane", 0.44701994055317207], ["area", 0.42918112398425357], ["lingard", 0.3249036444276481], ["appeal", 0.2889221888783752], ["reveal", 0.25480208288177014], ["gidigbo", 0.23820967235678778], ["14th", 0.22124841148963922], ["ground", 0.2152746184442401]]</t>
  </si>
  <si>
    <t>Na gidigbo football Leicester dy play. Finally Messi is on 🥳 Man Utd #Lingard. Mane goes to ground in the area and Manchester United appeal for a penalty. Manchester United's 14th penalty of the season is more than any team has been awarded in Premier League history..</t>
  </si>
  <si>
    <t>[["anyon", 0.9488432937145838], ["record", 0.2103569461160954], ["love", 0.17465845177277872], ["penalti", 0.15792651587971615]]</t>
  </si>
  <si>
    <t>84% of Fernandes’ goals in this league are penalties? If i speak😭😭😭. Manchester United have had 14 penalties this season, a new Premier League record. Does anyone love scoring penalties more than Bruno Fernandes?.</t>
  </si>
  <si>
    <t>[["kick", 1.0]]</t>
  </si>
  <si>
    <t>Free kick to Leicester City. Free kick. Vardy please. The free kick conceded cause of playing out from the back. Just kick it forward!! #LEIMUN. Pogba always doing the unnecessary. Just pass the ball. Now his nonsense has cost us a free kick in a dangerous position.</t>
  </si>
  <si>
    <t>[["poor", 0.38466754020027893], ["jonni", 0.38466599120439426], ["hallelujah", 0.37396901323949583], ["evan", 0.3498429184820588], ["europa", 0.34910305759902643], ["win", 0.32267444754452146], ["purizi", 0.286131907396204], ["pathet", 0.26697244518983615], ["import", 0.25036487255136247]]</t>
  </si>
  <si>
    <t>Leicester can't win an important game at home. 🤦🤦🤦. This is pathetic must win game and we haven't worked De Gea once #lcfc. Poor Poor Poor level of football from both United and Leicester. Jonny Evans is still a red at heart ❤. Jonny Evans one as red always a red ⚽️❤️.</t>
  </si>
  <si>
    <t>[["card", 0.46799689808941103], ["tackl", 0.4247875944688461], ["evan", 0.30494147632074825], ["penalti", 0.2887316714444863], ["babi", 0.28251593932628194], ["sent", 0.27451569420674105], ["jonni", 0.2709142721285645], ["scott", 0.24569674834816285], ["danger", 0.23378328128727371], ["sad", 0.21177502100367504], ["mctominay", 0.1890510021837338]]</t>
  </si>
  <si>
    <t>Manchester United and Penalties. Johhny Evans gifting ManUtd a penalty then getting a red card 😂😂. #LEIMUN. Champions League next season baby❤😍 #LEIMUN. RED CARD Jonny Evans is sent off for a dangerous tackle on Scott McTominay. Leicester 0-1 Man Utd (90+4 mins) #LEIMUN.</t>
  </si>
  <si>
    <t>[["lingard", 1.0]]</t>
  </si>
  <si>
    <t>Man who in the world thought lingard will get a goal today lmao. Lingard scores and runs to celebrate with all his fans. Lingard scores our last goal of the season. What a wow! Lingard scores ahahhahahahaha what a final day this has turned out to be.</t>
  </si>
  <si>
    <t>[["jess", 0.9611720935169323], ["legend", 0.2759496451243916]]</t>
  </si>
  <si>
    <t>Finally Jesse lingad goalllll. #LEIMUN. Premier League Jesse Lingard just did something UNBELIEVABLE. Jesse Lingard scoring is a fitting way to end this Premier League season. Jesse Lingard scored the last goal of the 2019/20 Premier League season. Legend!!.</t>
  </si>
  <si>
    <t>[["tackl", 0.6492713576542847], ["maguir", 0.6098801409119937], ["yellow", 0.4544149181650275]]</t>
  </si>
  <si>
    <t>Wetin dey do Maguire. Why e go tackle opponent like that. 9 mins: Yellow card for Maguire.. #MUFC #LEIMUN. My stream is 2 minutes late. Maguire getting a yellow for a needless tackle. Too stupid for £80 million. Maguire why would you make that tackle????</t>
  </si>
  <si>
    <t>Rashford can pass. Rashford’s long balls are getting better every game. 3 sexy assists robbed. Brilliant ball in from Rashford, and Greenwood gets between the CBs, but the kid heads over. Rashford can ping a ball man icl. What a ball by rashford. That cross from Rashford 🔥🔥.</t>
  </si>
  <si>
    <t>Poor pass from Matic. What a pass from Matic!! 😡. You cannot give away ball like that Matic #LEIMUN. Matic stop being such a fucking gimp and play the ball quicker. You don’t pass square next to your penalty area. Didn’t they teach Matic that? #MUFC. Baaaaaaaaall matic 😂.</t>
  </si>
  <si>
    <t>[["gea", 0.9437539359483621], ["iheanacho", 0.2046883302010586], ["save", 0.1896077132430082], ["score", 0.1774263535674293]]</t>
  </si>
  <si>
    <t>That was a goal if not for luck... You gotta focus de gea. De gea doing his best to lose us UCL. De gea needs to wake the fuck up. De Gea needs the season to end more than any other player. Fuck me De Gea doesn’t half make me nervous. Nah de gea needs to be sold. for free.</t>
  </si>
  <si>
    <t>Rashford dey ball abeg😊😊. Rashford playing weird passes really ???? Rashford should stop this stupid long forward passes.. Ah ahn😒. Rashford should quit with the 30yrds pass already! That’s not why you are there. Rashford needs to fix up. So many misplaced passes.</t>
  </si>
  <si>
    <t>[["pogba", 0.7713994197235777], ["offsid", 0.4195128059375493], ["auba", 0.3402874754187321], ["vardi", 0.21565271475092004], ["pass", 0.18788338147490277], ["goal", 0.17705964126189758]]</t>
  </si>
  <si>
    <t>If Bruno wasn't offside, that would have been some goal. What a pass from Pogba! Assnal 3?? Auba 2 goals?? God please don’t allow vardy hear oo. 3 possibility of goals: Pogba-Fernandes connection. Martial - Rashford connection. Greenwood-needs-no connection.</t>
  </si>
  <si>
    <t>[["aubameyang", 0.6745436801707436], ["golden", 0.41095621379261604], ["boot", 0.393596770453589], ["find", 0.3856431479930476], ["auba", 0.2105602878191389], ["need", 0.16772335488829704]]</t>
  </si>
  <si>
    <t>Aubameyang go do then Vardy just go start dey score is this la? United Nyame🙏🏻. I need 2 more for Auba. And Vardy not to score but Leicester to win lmaoooo. Don't let Vardy find out Aubameyang needs one more goal to match him for the Golden boot.</t>
  </si>
  <si>
    <t>Aubameyang needs one more goal to be level with Vardy and might win or become joint top scorer of the league.. Don't let Vardy find out Aubameyang needs one more goal to match him for the Golden boot.</t>
  </si>
  <si>
    <t>Rashford should be scoring that. That would have been a goal if it was Greenwood. Damn rashford. Rashford letting down Pogba there. A beautiful assist wasted hm. Thought that was a certain goal for rashford then. Fam rashford that has to be a goal.</t>
  </si>
  <si>
    <t>Chelsea scored just before half time looool Leicester gonna go all out in the second half. Can we sell Rashford to Arsenal in this first half? Infuriating, nail-biting, nerve-wracking 1st half, not sure how my heart will handle the 2nd... #LEIMUN.</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</si>
  <si>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</si>
  <si>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[["reaction", 1.0]]</t>
  </si>
  <si>
    <t>Come on Leicester!!! Need Leicester City to score, just want to see the Man Utd fans reaction!!! #LEIMUN.</t>
  </si>
  <si>
    <t>Jamie Vardy to his teammates when he realises Aubameyang is 1 goal behind him. Vardy pls score na. Vardy abeg score o. I'm just seeing Vardy's goal again United on the League win season. God please it should happen again😂 for ma sanity. Vardy jazz up I need goals in this match.</t>
  </si>
  <si>
    <t>Leicester vs Man Utd go mad for second half. Chelsea is leading so I watching #LEIMUN in the second half! come on Leicester. Leicester would go all out this second half, we can take advantage of that #MUN #LEIMUN. My team need to come out like this second half #LEIMUN.</t>
  </si>
  <si>
    <t>[["rt", 0.8407247275440969], ["vardi", 0.38799428021382537], ["shout", 0.3776802497050377]]</t>
  </si>
  <si>
    <t>Vardy asking for a cheeky pen because auba is only a goal behind now 🤔🤔. If Martial scores I’ll shout everyone out who RTs😼🙏🏻. Vardy ein goal no come yet. OMG VARDY WHAT A GOAL 😭 DE GEA IS FINISHED. Leicester pls 🙏🙏 but don’t let vardy score I beg.</t>
  </si>
  <si>
    <t>[["martial", 0.5654994562697546], ["pass", 0.5616590219992792], ["touch", 0.4540441658105088], ["ball", 0.39823787295894436]]</t>
  </si>
  <si>
    <t>Beautiful ball by Matic. What a pass that is from Matic into Martial. Martial goes down under pressure but never a penalty there. Martial too many touches bro 😭. Martial a try put the ball on his right foot again. Martial always gets ball under his feet i don’t understand.</t>
  </si>
  <si>
    <t>[["bar", 0.7965236164489418], ["perez", 0.6046074167913417]]</t>
  </si>
  <si>
    <t>Perez will score 100%. This is a sackable game for Ole and he has his favourites to blame. Rashford matic Maguire. Leicester need a goal and they bring on Perez. Anytime from now Ayoze Perez on the score sheet #LIEMUN. Leicester hit the bar oh my. Vardy hit the bar 😭 fuck off man.</t>
  </si>
  <si>
    <t>[["sub", 0.6583360954799675], ["half", 0.5652648886097791], ["footbal", 0.4970605507311609]]</t>
  </si>
  <si>
    <t>Leicester have been all over us this half, not good enough man. So Ole no go sub Rashford! Please sub in lingard 🤣. I am actually sick to flaming death of this football club. #MUFC #LEIMUN. I hope we can all agree that Pogba is a VERY average footballer!</t>
  </si>
  <si>
    <t>[["fernand", 0.36656205660324015], ["fuck", 0.36645407008791564], ["chill", 0.3579565411602891], ["play", 0.3070663198770275], ["bruno", 0.30379416264988995], ["martial", 0.281182764300305], ["penalti", 0.24667236552772806], ["score", 0.24351217111885415], ["ball", 0.23940498711066713], ["worthi", 0.23246672588820821], ["footi", 0.2323767411243576], ["fume", 0.228180878034411]]</t>
  </si>
  <si>
    <t>The final ball from Bruno Fernandes has just not been it. Chelsea are winning and if Leicester score we are fucked. Leicester need a goal if they want Champions League footy!! Why would you fall Martial in the penalty box??? Why?</t>
  </si>
  <si>
    <t>[["penalti", 0.49650507389334847], ["martial", 0.41819539906552505], ["record", 0.41540432497814994], ["set", 0.4066367112187088], ["gooal", 0.24945831624644094], ["big", 0.24364948679064044], ["need", 0.19351659812458025], ["come", 0.1722144543388676], ["new", 0.17148034957243571], ["score", 0.15024854540722202]]</t>
  </si>
  <si>
    <t>Penalty for Man Utd. Lei Mun. Martial FC winning a penalty for Fernandes FC. Manchester United set a new record for the most penalties (14) in a Premier League season. #LEIMUN. GOOAAAAALLLLLL!!! Bruno Fernandes puts us ahead with a big, big goal from the spot! #MUFC #LEIMUN.</t>
  </si>
  <si>
    <t>[["manag", 0.5681438339877133], ["never", 0.45593493147582975], ["bruno", 0.3269264140146476], ["still", 0.23359065225168518], ["mani", 0.2321962664671477], ["min", 0.17655500908138047], ["aw", 0.17057471787849782], ["fpl", 0.1657104816780745], ["gol", 0.16444706672651446], ["assist", 0.15028174711433667], ["perform", 0.13749773527131895], ["player", 0.12833681313979758], ["goal", 0.12491473841177657], ["champion", 0.12184233260978751], ["fire", 0.1177384826752761], ["end", 0.11325692390188344], ["seen", 0.11007282096558575], ["fernand", 0.1094980120888275]]</t>
  </si>
  <si>
    <t>Never thought Jose and Jonny Evans would be getting United into Champions League footy but that's 2020 for you. I've never seen a player have so many awful performances and still manages to get a goal from a penalty in the end like Bruno Fernandes 😭.</t>
  </si>
  <si>
    <t>[["14th", 0.9771845266282875], ["record", 0.21239209240988627]]</t>
  </si>
  <si>
    <t>That was Manchester United’s 20th penalty of the season and their 14th in the Premier League - a new record lol fuck this club honestly #PL. Manchester united 14th penalty of the season 🙌🙌. That was Manchester United's 1⃣4⃣th penalty of the season, a new Premier League record...👀.</t>
  </si>
  <si>
    <t>[["lingard", 0.6197542156627345], ["club", 0.5759557351700658], ["lead", 0.4458044400904476], ["histori", 0.29229797209118685]]</t>
  </si>
  <si>
    <t>Manchester United have won 14 penalties in the Premier League this season. The most by any club in history.. This man needs a win and brings on lingard????? Imagine if lingard scores. TL no go contain us today. Leicester should leading 3-1 if not for their gyimie.</t>
  </si>
  <si>
    <t>[["lingard", 0.8574607072293676], ["award", 0.4201271648146106], ["ff", 0.22373164626865402], ["greenwood", 0.1954442411545241]]</t>
  </si>
  <si>
    <t>You don’t bring Greenwood off ffs what are you doing. I hope this is the last match for lingard as a united player Manchester United. Manchester United's 14th penalty of the season is more than any team has been awarded in Premier League history..</t>
  </si>
  <si>
    <t>[["anyon", 0.8485968700975247], ["love", 0.4867993839323265], ["record", 0.2071465951054763]]</t>
  </si>
  <si>
    <t>Manchester United have had 14 penalties this season, a new Premier League record. Love a Leicester goal here to finish third. Does anyone love scoring penalties more than Bruno Fernandes?. That was Manchester United's 1⃣4⃣th penalty of the season, a new Premier League record...👀.</t>
  </si>
  <si>
    <t>[["maguir", 0.5710251246123378], ["yellow", 0.5710251246123378], ["kick", 0.4743223135852569], ["half", 0.3505409490459816]]</t>
  </si>
  <si>
    <t>Maguire needs to fuck off man. Just kick the fucking ball inside the Leicester half ffs🤦🏽‍♂️😤. Leicester can take Maguire back, half the price. If they score this free kick Maguire 😒. That’s a second yellow for Maguire. He should be sent-off by now.</t>
  </si>
  <si>
    <t>Mctominay last minute goal 😁😁. Goal scorer, Fernandes comes off for McTominay. 0-1. #LEIMUN.</t>
  </si>
  <si>
    <t>[["evan", 0.6112941620129931], ["red", 0.45203725897419134], ["jonni", 0.43200776335591734], ["tackl", 0.33421641295453713], ["card", 0.20527969008686264], ["aw", 0.1762007407783687], ["ref", 0.16867349191244324], ["former", 0.1483686173454858]]</t>
  </si>
  <si>
    <t>Jonny Evans should be ashamed of himself after that horror tackle. Jonny Evans is a red and he loves get a red!! Johnny Evans red card? A true Manchester United player at heart. Awful tackle from Jonny Evans. Given a penalty away and a red card against his former club. #mufc.</t>
  </si>
  <si>
    <t>[["card", 0.5022970034299681], ["sent", 0.37178466825607775], ["scott", 0.332754323355461], ["jonni", 0.3258804016939283], ["tackl", 0.3200820270079783], ["danger", 0.31661956497011096], ["evan", 0.25766926294740616], ["mctominay", 0.2560373254194534], ["min", 0.24062707840939493]]</t>
  </si>
  <si>
    <t>Jonny Evans Utd spy😂. RED CARD Jonny Evans is sent off for a dangerous tackle on Scott McTominay. Leicester 0-1 Man Utd (90+4 mins) #LEIMUN. Jonny evans smiling after a red card MAN UTD LEGEND.</t>
  </si>
  <si>
    <t>[["lingard", 0.9268562409200041], ["legend", 0.375416446986063]]</t>
  </si>
  <si>
    <t>Only Lingard would celebrate his first goal in the premier league which is a tap in 😂. Lingard scored , the world is coming to an end 😂😂. Lingard final game of the season loooool get that guy out my club. Lingard finally scores his 1st goal, the gk pitied him 😂😂😂.</t>
  </si>
  <si>
    <t>[["jess", 0.9566391764238882], ["fifth", 0.22854057666094985], ["third", 0.1805843042750542]]</t>
  </si>
  <si>
    <t>FULL-TIME Leicester 0-2 Man Utd. Man Utd finish in third place as Leicester drop to fifth. #LEIMUN. Jesse Lingard. Finally. Jesse Lingardinho scores the last Man Utd Premier League goal for this season 😂😂😂😂 wonderful! Manchester United #LEIMUN.</t>
  </si>
  <si>
    <t>[["david", 0.6559877933310937], ["marshal", 0.6496945281290631], ["save", 0.38415756548551283]]</t>
  </si>
  <si>
    <t>David Marshall appreciation tweet ❤ #SCOCZE. David marshall let me kiss you. His name is David Marshall and he's a shagger. #SCOCZE. What a save David Marshall EURO 2020. Is David Marshall the greatest keeper of all time? #SCOCZE. #sco. David Marshall what a save. Wigan’s finest.</t>
  </si>
  <si>
    <t>[["wide", 0.5773502691896257], ["unlucki", 0.5773502691896257], ["lyndon", 0.5773502691896257]]</t>
  </si>
  <si>
    <t>Good attacking play down the left but Dykes shoots wide. Dykes just wide #SCO #SCOCZE. Wow that Roar and Dykes just puts it wide.. Sooo unlucky there Dykes. Liquid Football Scotland. Unlucky. Dykes great movement in the box. #SCOCZE. Is that Lyndon Dykes?</t>
  </si>
  <si>
    <t>[["donnel", 0.7686578628097691], ["stephen", 0.4552386135423091], ["nathan", 0.36613823256564043], ["defend", 0.260510439972189]]</t>
  </si>
  <si>
    <t>How is this O'Donnell guy a footballer 😂😂😂 #SCOCZE. Nathan Patterson wouldn't have got in his way.. Great defending from Stephen O'Donnell of the Czech Republic. May not be related to Phill O'Donnell but its good to see an O'Donnell down that side.</t>
  </si>
  <si>
    <t>[["close", 0.37796447300922725], ["chanc", 0.37796447300922725], ["save", 0.37796447300922725], ["buri", 0.37796447300922725], ["sprint", 0.37796447300922725], ["ronni", 0.2630980123548837], ["grant", 0.2611725547072279], ["hanley", 0.23702061546975658], ["whelan", 0.2255125820184718], ["celtic", 0.15093261444570005], ["brazi", 0.1358943242640425]]</t>
  </si>
  <si>
    <t>Huge chance for #SCO. Great football but what a save! EURO 2020. Is someone gonna tell Ronnie Whelan that it's Scotland and not Celtic playing? #SCOCZE. Right when did Grant Hanley become a fucking baller? Was that Grant Hanley or Ronaldo sprinting back there 👀.</t>
  </si>
  <si>
    <t>[["class", 1.0]]</t>
  </si>
  <si>
    <t>Do think McTominay is a top class player tbf. Robbo is world class also. Hanley has been class. Andy Robbo Is World Class 🔴 #SCOCZE. Christie's been absolutely Class👏🏻👏🏻. #SCO. Robertson is having a class game #sco. Hanley master class.</t>
  </si>
  <si>
    <t>[["header", 0.5], ["cross", 0.5], ["patterson", 0.5], ["sake", 0.4205155721805652], ["fuk", 0.2704933521431754]]</t>
  </si>
  <si>
    <t>Schick that’s a proper header, Czech got so many giants in the box. See, it wasn't Soucek but a header from a cross. Stop them putting crosses in. Hanley well beaten to the header for that Czech goal. Great header but we’ve had chances, Patterson and Adams on and it will come.</t>
  </si>
  <si>
    <t>[["patterson", 0.4245566801318842], ["adam", 0.42010472980923047], ["love", 0.3432330283946539], ["razor", 0.3432330283946539], ["feel", 0.3432330283946539], ["billi", 0.2667385780716226], ["che", 0.26261873117971285], ["odonnel", 0.2355666612840136], ["gilmour", 0.21600796918006104], ["half", 0.18842615824391534], ["need", 0.1098331791306468]]</t>
  </si>
  <si>
    <t>@AshwinRaman_ I've got a schick feeling about this game :( Scotland would be winning if billy gilmour was playing. Adams needs to come on at half time. #scocze. Armstrong off gilmour on. O’Donnell off Patterson on. Christie off che Adams on.</t>
  </si>
  <si>
    <t>[["half", 0.4082482904638631], ["penalti", 0.4082482904638631], ["patterson", 0.4082482904638631], ["pen", 0.4082482904638631], ["che", 0.3286371619906966], ["dyke", 0.28821337060375046], ["adam", 0.24220710647164614], ["pish", 0.2045500559560405], ["get", 0.204350175630638]]</t>
  </si>
  <si>
    <t>@caldwellrowan29 boril stood his ground, if he runs into him it's a clear pen. @markgoldbridge Well Scotland have che Adams on the bench. Baffled as to why he hasn't started. McTominay is getting that penalty if he's playing for man u in the league.</t>
  </si>
  <si>
    <t>[["patrick", 0.5], ["whigfield", 0.5], ["forrest", 0.40887336362741733], ["assist", 0.37169480125242915], ["coufal", 0.33442932694654215], ["jame", 0.2877891111838698]]</t>
  </si>
  <si>
    <t>@redgewd Coufal got the assist on the goal! ⚒. Are they playing fucking Whigfield over the tannoy? What year is this? #SCOCZE. @mstewart_23 I’ll have whatever you’ve taken, James Forrest 😂😂. 1-0 Czech Republic. Patrick Schick gives them the lead vs Scotland!.</t>
  </si>
  <si>
    <t>[["far", 0.7071067811865476], ["patrik", 0.4570040328105138], ["trail", 0.38554226388642693], ["put", 0.37749765132018437]]</t>
  </si>
  <si>
    <t>Get Steve Clarke so far to fuck. @andrewrobertso5 How far can Scotland go at EURO 2020? Tweet of the day so far👇. 🏴󠁧󠁢󠁳󠁣󠁴󠁿🆚🇨🇿 Who's impressed you so far? EURO 2020. Patrik Schick opens the scoring for the Czech Republic to put them up 0-1 over Scotland 🇨🇿.</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</si>
  <si>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</si>
  <si>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Get Billy Gilmour on second half #SCO. Che Adams is a must in the second half. C'mon Scotland big second half to turn it around #SCO. Bound to see Billy Gilmour in the second half.</t>
  </si>
  <si>
    <t>[["che", 0.8353068216182673], ["adam", 0.5497840610257707]]</t>
  </si>
  <si>
    <t>@KingsSpotland No a lot between the from the goal that is. Che Adams now on for Christie. Yassss Che Adams on! All our hopes rely on an Englishman come on che! 🏴󠁧󠁢󠁳󠁣󠁴󠁿. They had Che Adams on the bench this whole time? 😳. In 2 mins che Adams has done more than dykes.</t>
  </si>
  <si>
    <t>[["jack", 0.5589108331649966], ["hendri", 0.4971014827929954], ["marshal", 0.43883677681503047], ["save", 0.2929611921767628], ["david", 0.24364024630386186], ["second", 0.19684336961385032], ["fuck", 0.181436837177943], ["keep", 0.1762884338341655]]</t>
  </si>
  <si>
    <t>Wow Scotland have started this second half terribly two big saves from David Marshall to keep them in this game. Scotland need to show a lot more urgency. Hendry, why oh why oh why did you do that? 🤦. Also, what in the living fuck was Jack Hendry doing?</t>
  </si>
  <si>
    <t>[["vaclik", 0.7071067811865476], ["hell", 0.6237560034618965], ["bloodi", 0.3330592261824351]]</t>
  </si>
  <si>
    <t>Can Vaclik fuck off pls. Wow Vaclik 🤣🤣🤣🤣. Bloody hell.... #SCOCZE. Vaclik on 🔥 #SCOCZE. Vaclik is on something surely. Fucking hell why is O'Donnell still on the pitch? Vaclik the goat. Unreal from Vaclik. Vaclik. That was magnificent. #SCO vs #CZE is one hell a game !!</t>
  </si>
  <si>
    <t>[["differ", 0.7071067811865476], ["god", 0.4457540584710745], ["patrick", 0.4334553066735452], ["schick", 0.33677858671998245]]</t>
  </si>
  <si>
    <t>Look at the difference with Chè Adams on the pitch already, a different gravy. #SCO #SCOCZE. Che Adams looks good already…what a difference #sco. Oh my god, what an insane goal from Schick. Absurd. Oh my god, that goal by Schick. 👀. @czechfooty schick is god, that's all i can say.</t>
  </si>
  <si>
    <t>[["shick", 0.3831349471404576], ["way", 0.3099692711655675], ["fuck", 0.2886186837573686], ["christ", 0.1915674735702288], ["que", 0.1915674735702288], ["shoot", 0.1915674735702288], ["lob", 0.1915674735702288], ["hahahaha", 0.1915674735702288], ["worldi", 0.1915674735702288], ["poor", 0.1915674735702288], ["finish", 0.1915674735702288], ["ridicul", 0.1915674735702288], ["brilliant", 0.1915674735702288], ["amaz", 0.1915674735702288], ["lol", 0.1915674735702288], ["sick", 0.1915674735702288], ["patrick", 0.1915674735702288], ["halfway", 0.1915674735702288], ["hell", 0.1915674735702288], ["sake", 0.16516403825074005], ["david", 0.14292054536772061], ["marshal", 0.1275610232080067], ["half", 0.11051923068383766], ["line", 0.10229668081284671]]</t>
  </si>
  <si>
    <t>Fuck off Hendry you fucking cunt get fucked you selfish fucking bastard fuck off. Keep david marshall in derby and never let him back in scotland. Schick do you fancy scoring from the half way line?…. Patrick schick was amazing for leipzig and roma. im not surprised.</t>
  </si>
  <si>
    <t>[["seen", 0.3162277660168379], ["contend", 0.3162277660168379], ["unbeliev", 0.3162277660168379], ["unreal", 0.3162277660168379], ["gol", 0.3162277660168379], ["stun", 0.3162277660168379], ["pun", 0.3162277660168379], ["bend", 0.3162277660168379], ["halfway", 0.3162277660168379], ["execut", 0.3162277660168379]]</t>
  </si>
  <si>
    <t>Goal of the euro tournament this season 👌🏻👌🏻. Absolutely stunning. #cze. Schick just scored a contender for goal of the tournament... From execution tobprecision everything was spot on from Schick.. #cze. 👀 haven’t seen the halfway line goal in ages. ⚽️.</t>
  </si>
  <si>
    <t>[["cavani", 0.5], ["hell", 0.5], ["worldi", 0.5], ["schik", 0.5]]</t>
  </si>
  <si>
    <t>That Schick goal is what United fans thought Cavani's goal was. Worldy from Schick for the Czech Republic. EURO 2020. It is amazing Patrik Schik just scored goal from the middle of the pitch lobbing a goalkeeper at the same time and it is 2-0! #Sco #Cze EURO 2020 #football #Schik.</t>
  </si>
  <si>
    <t>[["strike", 0.37796447300922725], ["bend", 0.37796447300922725], ["lol", 0.37796447300922725], ["great", 0.3347793192978442], ["patterson", 0.3292333880730388], ["steve", 0.27394275419560565], ["clark", 0.2604083529398949], ["dyke", 0.24879088126038756], ["shite", 0.2393960027210792], ["gilmour", 0.18564083342597526], ["one", 0.17544215635819965], ["lyndon", 0.15378489568222123]]</t>
  </si>
  <si>
    <t>That was a great goal by #CZE Euro 2020. What we see vs what Steve Clarke sees. @WestEndBluenose Get Gilmour Patterson on. Armstrong O'Donnell off. @NigeWolves 🤣🤣🤣🤣🤣🤣🤣🤣🤣🤣🤣🤣🤣🤣🤣🤣🤣🤣🤣🤣🤣🤣🤣nearly as funny as score at hampden Park lol lol lol. The bend on the Schick strike is very good.</t>
  </si>
  <si>
    <t>Schick</t>
  </si>
  <si>
    <t>[["goali", 0.5], ["class", 0.4187694448186713], ["soucek", 0.3720611793742926], ["jack", 0.36724672843288136], ["hendri", 0.33930788445797344], ["assist", 0.3340216741509605], ["world", 0.27318885791016784]]</t>
  </si>
  <si>
    <t>What is this goalie doing?? World class! Soucek’s team winning 🤮🤮🤮. In less than 24 hours we've seen two world class goals.. The Euros are just getting started lads. There's more to come.. EURO 2020 #Schick. Was that not a soucek assist? Jack Hendry 🤦‍♀️. Hendry👀.</t>
  </si>
  <si>
    <t>[["angl", 0.5773502691896257], ["commentari", 0.5773502691896257], ["feel", 0.46117903407059974], ["scot", 0.34734310395780427]]</t>
  </si>
  <si>
    <t>The behind the goal camera angle is 😮. This angle of the Schick. @EwanMacKenna Looks worse from this angle... What a goal, and what a commentary EURO 2020. The Scots must be feeling Schick EURO 2020. How boring is that commentary 😴. Have a feeling we’re going to sign Schick.</t>
  </si>
  <si>
    <t>[["dyke", 0.6145790465434989], ["wow", 0.4529101566789786], ["lyndon", 0.3848008128711167], ["che", 0.3431004108535361], ["adam", 0.29565134549856475], ["get", 0.25291443200706787]]</t>
  </si>
  <si>
    <t>How Che adams didn’t start this game I do not know. Scotland’s best attacking player. Che Adams is miles better than that Dykes guy, his so bad😳 how tf did they start him n bench Adams? That should have been in Lyndon Dykes do better 😭.</t>
  </si>
  <si>
    <t>Che Adams for Christie</t>
  </si>
  <si>
    <t>[["unlucki", 0.7071067811865475], ["callum", 0.5486786196209629], ["mcgregor", 0.446040101751888]]</t>
  </si>
  <si>
    <t>Absolute class but #SCO have been so unlucky all game. This Scotland team is leeds united version of euro, entertaining but so unlucky #scocze. If Callum Mcgregor is the answer then what is the question? Callum McGregor isn't going tae make any difference fs, pointless sub.</t>
  </si>
  <si>
    <t>[["vaclik", 0.31622776601683794], ["fella", 0.31622776601683794], ["goali", 0.31622776601683794], ["omg", 0.31622776601683794], ["nisbet", 0.31622776601683794], ["fuck", 0.31622776601683794], ["score", 0.31622776601683794], ["guy", 0.2776462579429987], ["puska", 0.25139938892809094], ["chanc", 0.20779030295086098], ["mani", 0.20034876243533317], ["award", 0.1918289530977596], ["dyke", 0.15136893819489466], ["need", 0.1291648690249011]]</t>
  </si>
  <si>
    <t>Goal of the tournament already!!! Puskas award contender!!! What a strike!!! He smashed the ball and the goalie in the goal! This guy Dykes has missed too many chances … he has to score that. Vaclik is playing out of his mind for the Czech Republic.</t>
  </si>
  <si>
    <t>Holeš for Kral</t>
  </si>
  <si>
    <t>[["che", 0.3917749898824734], ["fraser", 0.3912628955723939], ["ryan", 0.336920223570016], ["adam", 0.33645585634178243], ["shite", 0.2582103028634224], ["terribl", 0.2582103028634224], ["save", 0.2582103028634224], ["nisbet", 0.2582103028634224], ["goali", 0.2582103028634224], ["wow", 0.2582103028634224], ["worst", 0.205060655522522], ["striker", 0.11422470218468878], ["ive", 0.1075890583298926]]</t>
  </si>
  <si>
    <t>Dykes should have scored that!... But what a save it was. Ryan Fraser coming on, I always forget he's like 5'4." This dykes brudda is terrible how did steve clarke start him over che adams? Che adams is doing so well putting himself about 👏🏾⚽️ #sco.</t>
  </si>
  <si>
    <t>Fraser for Amstrong</t>
  </si>
  <si>
    <t>[["lol", 0.408248290463863], ["shick", 0.408248290463863], ["save", 0.408248290463863], ["still", 0.3456231791870055], ["callum", 0.3203839020907318], ["steve", 0.2985525047763645], ["clark", 0.278447604691485], ["mcgregor", 0.2530233624545036], ["pitch", 0.21728157923610034]]</t>
  </si>
  <si>
    <t>@Iammirzaarif This goal from Shick. What a game it is. 🔥. Steve clarke is not serious at all. Why are there still 5 at the back and why is O'Donnell still on the pitch 🙇‍♂️. We live in a world where Steve Clarke has brought on Callum McGregor over Billy Gilmour. Unbelievable.</t>
  </si>
  <si>
    <t>McGregor for Hendry</t>
  </si>
  <si>
    <t>[["hlozek", 0.7071067811865475], ["fraser", 0.527209341509535], ["ryan", 0.4712221453041892]]</t>
  </si>
  <si>
    <t>Scotland need a goal and they bring on Ryan Fraser 🤣🤣. Adam Hlozek, nick. Did work for me on Footy Manager. Adam Hlozek on for the Czech Republic.. FM folks eating good already with the Euros. Hlozek 😍 if you play fm 21 this is a moment right now!</t>
  </si>
  <si>
    <t>Hložek for Jankto</t>
  </si>
  <si>
    <t>[["lyndon", 0.8431788615998991], ["dyke", 0.5376331531361307]]</t>
  </si>
  <si>
    <t>Lyndon Dykes in the box. Lyndon dykes after being asked to run. Get Lyndon fucking dykes off the park. Dykes 😎. Stop calling up Lyndon Dykes @ScotlandNT. Lyndon Dykes Vs Czech Republic.. Lyndon Dykes 🔥🔥🥶🥶 better then Werner??🩹🩹🍺🍺. @QPR have sent Lyndon Dykes undercover 🏴󠁧󠁢󠁥󠁮󠁧󠁿.</t>
  </si>
  <si>
    <t>Vydra for Masopust</t>
  </si>
  <si>
    <t>[["mctominay", 0.6324555320336759], ["shit", 0.31622776601683794], ["nisbet", 0.31622776601683794], ["forrest", 0.2743921405622243], ["billi", 0.2457708630611202], ["lyndon", 0.24574796009834018], ["david", 0.24438234816180912], ["marshal", 0.20069197270175088], ["dyke", 0.1990174366921265], ["gilmour", 0.1989891526445402], ["jame", 0.15719081779060926]]</t>
  </si>
  <si>
    <t>@brougher1 @andycrichton6 Why take off hendry put mctominay back to bring in McGregor,just take mctominay off,but he plays for man u so can't do that. Nisbet and Adams in the squad and he picks dykes😭. James fucking forrest over turnbull or fucking billy gilmour just fuck off.</t>
  </si>
  <si>
    <t>Forrest for O'Donnell</t>
  </si>
  <si>
    <t>[["mcginn", 0.5], ["late", 0.4243958170477413], ["hat", 0.42168530531592424], ["stephen", 0.4203362802349888], ["donnel", 0.2707718809592549], ["trick", 0.2686661558153833], ["minut", 0.2643637465167645]]</t>
  </si>
  <si>
    <t>Stephen O’ Donnell got 78 minutes of that game. 🤦🏽‍♂️ #SCOCZE. Too late for a call up @ScotlandNT ? 🤣🏴󠁧󠁢󠁳󠁣󠁴󠁿 EURO 2020. Dykes coming off 78 minutes too late. No one is better than McGinn at that. Schick should have a hat trick right now what a chance to score.</t>
  </si>
  <si>
    <t>Nisbet for Dykes</t>
  </si>
  <si>
    <t>[["alreadi", 0.7882220560795985], ["tournament", 0.4379684773556627], ["wrap", 0.4323073017569941]]</t>
  </si>
  <si>
    <t>Already have goal of the tournament on the 4th day 😭😭😭🔥🔥🔥. A few games into the tournament and this guy already has the goal of the tournament 😭😭😭😭❤️. Goal of the tournament already no debates 😳🔥#SCOCZE EURO 2020. So we have the goal of the tournament wrapped up already #SCOCZE..</t>
  </si>
  <si>
    <t>Ševčik for Schick</t>
  </si>
  <si>
    <t>[["steve", 0.5832176104824696], ["clark", 0.5393225910781401], ["patrick", 0.41383848084389446], ["save", 0.30565001167221534], ["marshal", 0.19832027374671218], ["david", 0.19623819101537343], ["fuck", 0.1626769348171854]]</t>
  </si>
  <si>
    <t>David marshall has saved us all game this could be 5/6. Scotland beaten at home by the Czechs. Two wonderful goals by Patrick Schick. Second a contender for goal of the tournament already. What the fuck was David Marshall doing that high up the pitch?. Patrick Schick.</t>
  </si>
  <si>
    <t>Krmencik for Darida</t>
  </si>
  <si>
    <t>[["fuck", 0.553877315914412], ["patrik", 0.412954431418629], ["wow", 0.412954431418629], ["patrick", 0.412954431418629], ["hell", 0.3091898426237776], ["hendri", 0.2456778138749601], ["goal", 0.16021824059232892]]</t>
  </si>
  <si>
    <t>Jack Hendry why the fuck are you shooting there?!?!?!? I mean what a goal but fuck off. Patrick Schick being one of the players of the tournament wasn't something anyone saw coming. What a fucking goal that a fucking bow Patrik Schick..👏👏👏👏👏👏👏.</t>
  </si>
  <si>
    <t>[["lyndon", 0.8857228373944979], ["dyke", 0.46421444970814923]]</t>
  </si>
  <si>
    <t>Hm another chance for Lyndon Dykes there. I’m such a Lyndon Dykes fan, but this Czech keeper is having himself a day. Lyndon Dykes you got me done. State of Lyndon Dykes. Lyndon dykes oot. Lyndon Dykes be as well With Dick Van Dykes🥴. Lyndon dykes is pony.</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</si>
  <si>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</si>
  <si>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[["shite", 1.0]]</t>
  </si>
  <si>
    <t>Cannot believe how absolutely shite O'Donnell is. O'donnell is shite 😂. O'DONNELL YER FUCKING SHITE MATE. O'Donnell 🤦‍♂️.</t>
  </si>
  <si>
    <t>[["header", 0.7071067811865475], ["coufal", 0.44443449425604076], ["assist", 0.4197189232915751], ["fantasi", 0.3554068172479786]]</t>
  </si>
  <si>
    <t>Nice delivery from coufal and a great header from schick. Schick with a header. Always enjoy a good header! Coufal assist for my fantasy 🤫. But Czech Republic is the one who's take the lead, great cross by Vladimir Coufal followed by superb header by Patrik Schick.</t>
  </si>
  <si>
    <t>[["ryan", 1.0]]</t>
  </si>
  <si>
    <t>Why ryan christie is off? #SCO 0-1 #CZE. There's also a half-time change - Che Adams is on for Ryan Christie. The second half is underway - come on, boys! 🏴󠁧󠁢󠁳󠁣󠁴󠁿.. EURO 2020. Scotland 0 Czech Republic 1 LIVE: Back underway at Hampden. Che Adams replaces Ryan Christie..</t>
  </si>
  <si>
    <t>[["hendri", 0.4783603638446676], ["wow", 0.3560376880083167], ["finish", 0.3560376880083167], ["patrick", 0.3560376880083167], ["shick", 0.3560376880083167], ["jack", 0.2878289687731965], ["david", 0.27305889331846916], ["wtf", 0.2334773449947943], ["marshal", 0.2284768611085165]]</t>
  </si>
  <si>
    <t>Jack hendry trying that when no one's at the back 😣. Gutted for Scotland, but that was a brilliant finish from Schick. Fuck jack hendry for having that shot and fuck Davies Marshall for being so far off his line. This Patrick Schick goal is the goal of the tournament 100%</t>
  </si>
  <si>
    <t>[["jack", 0.7186850360003487], ["hendri", 0.5324389159328997], ["shoot", 0.44721428848973066]]</t>
  </si>
  <si>
    <t>Jack fucking Hendry 🙃. Selecting Celtic’s Jack Hendry instead of Oostende’s Jack Hendry was a major error. Jack hendry is a bum. Why did Hendry even try and shoot. Wow, that was superb from Schick. But what was Hendry doing shooting? "Jack Hendry deserves a chance."</t>
  </si>
  <si>
    <t>[["unbeliev", 0.7071067811865475], ["goali", 0.7071067811865475]]</t>
  </si>
  <si>
    <t>Unbelievable Tekkers #SCOCZE. Unbelievable by Schick! Unbelievable PATRIK SCHICK. #CZESCO EURO 2020. Patrik Schick 2-0 Czech Republic!! What a goal, definitely the top goal of the EURO 2020 candidate, gets his 2nd goal of the game, unbelievable! 🇨🇿.. What is this goalie doing??</t>
  </si>
  <si>
    <t>[["patrick", 1.0]]</t>
  </si>
  <si>
    <t>Patrick Schick today #SCOCZE. Warra a goal by Patrick Schick😍😍, the goal of the EURO 2020 🤔🤔. QUE GOLAZO! PATRICK SCHICK! (🎥 @TUDNUSA). Patrick Schick what a strike!!! Oh my! Patrick Schick from near the halfway line! #CZE.. Patrick Schick wow! Take a bow! Patrick Schick pureeee.</t>
  </si>
  <si>
    <t>[["vaclik", 0.5773502691896257], ["save", 0.5773502691896257], ["patrick", 0.5773502691896257]]</t>
  </si>
  <si>
    <t>Not 'what a save' from Dykes. He should bury it! Vaclik is having the game of his life. The Czech goalie is having fun. Saves after saves. #SCOCZE. And another world class save.. Tomas Vaclik! 👏. #CZE EURO 2020. What a Goal. Patrick Schick! 🤯🔥. EURO 2020 #SCOCZE.</t>
  </si>
  <si>
    <t>[["david", 0.7758975175270023], ["marshal", 0.6308589717959435]]</t>
  </si>
  <si>
    <t>Can David Marshall play against England? #SCO #SCOCZE. “OH SCHIIIIIIICK” — Scotland GK David Marshall, probably. David Marshall tried. 😳. David Marshall did his best to keep it out 🧤.</t>
  </si>
  <si>
    <t>What a goal from Patrick 🚀🚀🚀🚀[Czech Republic] this is EURO 2020. 51’ Scotland 0-2 Czech Republic. ⚽️⚽️Patrick Schick. WHAT A GOAL BY PATRICK SHICK! EURO 2020 #SCOCZE. Patrick Schick. That’s it that’s the tweet. Patrick Schick rules, but lol at that poor keeper.</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</si>
  <si>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</si>
  <si>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[["forrest", 0.8641360486247737], ["nisbet", 0.4575035053129999], ["jame", 0.20966504738148545]]</t>
  </si>
  <si>
    <t>Nisbet should have been on long before this. Forrest you’re not Messi la. Forrest almost doing a Gemmill. Forrest and Fraser should of started this game Clarke got it all wrong. James Forrest with a good chance for Scotland euro 2020. What a run from Forrest.</t>
  </si>
  <si>
    <t>[["holi", 1.0]]</t>
  </si>
  <si>
    <t>A very Schick goal. Goal of the tournament by Patrick Schick!! Euro 2020 (🎥 @TUDNUSA). Holy Schick, Czech that goal out 🤯🤯. @brfootball Insane goal from Schick. You will NOT see a better goal than this.. Holy Schick.. #CZE EURO 2020.. @JB___AFC I’m getting Schick of it man.</t>
  </si>
  <si>
    <t>[["lyndon", 1.0]]</t>
  </si>
  <si>
    <t>Who the fuck is Lyndon Dykes when he’s at home. Is that Lyndon Dykes? Omds Lyndon Dykes so close. Lyndon Dykes playing in the Championship over Che Adams?</t>
  </si>
  <si>
    <t>[["donnel", 1.0]]</t>
  </si>
  <si>
    <t>O'Donnell is shite. What was O'donnell doing?? O'Donnell 😂😂😂. State of O'Donnell there. @Nimmo17_ what is O'Donnell doing? #SCOCZE. How is this O'Donnell guy a footballer 😂😂😂 #SCOCZE. Good defending by o'donnell there for the czechs 😭😭. Great defending by O'Donnell 🤣.</t>
  </si>
  <si>
    <t>[["grant", 0.8335786178738824], ["hanley", 0.5524008398106107]]</t>
  </si>
  <si>
    <t>Grant Hanley what a player. Grant Hanley, some boy. Grant Hanley brilliant there. Impressed with Grant Hanley so far. Who’s that wearing the Grant Hanley shirt because it’s surely no Grant Hanley because he’s been excellent so far #Sco. Grant hanley is rapid.</t>
  </si>
  <si>
    <t>[["header", 0.7071067811865476], ["che", 0.5386150683692015], ["adam", 0.4581416900104599]]</t>
  </si>
  <si>
    <t>What a header that was for the Czechs 👏🏻👏🏻 #CZE. Well there goes my bet. Tbf that was a Schick header.... Great header from Schick. Got up, directed it well away from keeper. #scocze. That’s just a great header over 2 Scottish defenders. Nothing the keeper could do. Euro 2020.</t>
  </si>
  <si>
    <t>[["half", 0.6026503311572539], ["adam", 0.5704791230159786], ["patterson", 0.5580019252287327]]</t>
  </si>
  <si>
    <t>Che Adams on at half time yeah? Patterson and adams at half time. Che Adams on for Armstrong then Patterson on for O’Donnell in this second half. Patterson And Adams On Armstrong and O'Donnell off. Not really surprised with that lineup, Patterson Gilmour Adams on at half time.</t>
  </si>
  <si>
    <t>[["penalti", 0.7071067811865475], ["pen", 0.7071067811865475]]</t>
  </si>
  <si>
    <t>Why did I think that's a pen for #Sco. 👀. How the fuck is that not a penalty #sco. Yo Mctominay this isn’t a United game. Not getting penalties that easily. Let McTominay run with the ball towards the goal more. 👀 And that's a penalty in my opinion. #SCO.</t>
  </si>
  <si>
    <t>[["che", 1.0]]</t>
  </si>
  <si>
    <t>Che Adams is coming on 👏. Finally che adams on but that dykes fella should he off. Only 45 minutes too late for Che Adams to be on pitch.. Of course they drew for Che Adams. Yassss Che Adams on! All our hopes rely on an Englishman come on che! 🏴󠁧󠁢󠁳󠁣󠁴󠁿. Che Adams, time to cook.</t>
  </si>
  <si>
    <t>[["unlucki", 0.7071067811865475], ["save", 0.7071067811865475]]</t>
  </si>
  <si>
    <t>Hendry hits the bar! Unlucky. Jack Hendry.... NOOOOOO. Unlucky lads. Jack Hendry the one who got away? @CelticFC. That's so unlucky, much better from Scotland. #SCOCZE. That'll be one of the saves of the tournament... #SCO. Almost an own goal Vaclik w the acrobatic save #CZE.</t>
  </si>
  <si>
    <t>[["fuck", 0.5783398113816169], ["halfway", 0.3978755329045853], ["hendri", 0.26531867504181644], ["shoot", 0.21054482157860427], ["lob", 0.21054482157860427], ["shick", 0.21054482157860427], ["outrag", 0.21054482157860427], ["patrick", 0.21054482157860427], ["finish", 0.21054482157860427], ["patrik", 0.21054482157860427], ["hit", 0.21054482157860427], ["jack", 0.16919131192604964], ["david", 0.1505235890953686], ["marshal", 0.1472133520419087], ["line", 0.09610580881335044]]</t>
  </si>
  <si>
    <t>David Marshall when you ask which is worse: his club or his country.. What a goal but fuck me jack hendry you are a fucking fanny. @mhairigrimwoodx What the fuck is Hendry shooting from 40yrds out 🥴. Schick is a combination of style and lobbing one in from the halfway line.</t>
  </si>
  <si>
    <t>[["david", 0.5822836879934736], ["marshal", 0.4820515524141999], ["sick", 0.3779647282978395], ["craig", 0.2836560189110078], ["hendri", 0.27393521186883785], ["jack", 0.26041665756175153], ["gordon", 0.2497931119402966]]</t>
  </si>
  <si>
    <t>Thought a Schick was when ya shit and get sick at the same time? @PedzKeenan At least if it was Craig Gordon in goals he wouldn't have been off his line!! Why was David Marshall standing on the half-way line? Jack Hendry, David Marshall; what the fuck are you pair doing.</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</si>
  <si>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</si>
  <si>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[["goali", 0.7071067811865475], ["shick", 0.7071067811865475]]</t>
  </si>
  <si>
    <t>What is this goalie doing?? Are you serious shick ? 😳. Well that was absolutely Shick hot 😂😂😂😂. #SCO #SCOCZE. Hanley has got to be getting to closer to Shick there. What the goal lah shick #cze. WHAT A GOAL. Patrick Shick 0-2. #SCOCZE. Patrik Shick… The Audacity… 🤭🚀 EURO 2020.</t>
  </si>
  <si>
    <t>[["alreadi", 1.0]]</t>
  </si>
  <si>
    <t>So we have the goal of the tournament wrapped up already #SCOCZE.. Goal of the tournament already decided then…. Sheeeeeesh goal of the tournament already. Goal of the tournament already what a hit.</t>
  </si>
  <si>
    <t>[["david", 0.5468748035217544], ["lyndon", 0.4837016772945685], ["marshal", 0.44824987370108926], ["dyke", 0.3803088250841215], ["hate", 0.3484219926261203]]</t>
  </si>
  <si>
    <t>David Marshall running back to the goal. David Marshall really fucked it with that second goal 😂😭. @TheSportsman David Marshall get to fuck son! David Marshall 500 yards off his line EURO 2020. Lyndon Dykes is pure shite hahaha. Lyndon. Lyndon Dykes. no the other one.</t>
  </si>
  <si>
    <t>[["dyke", 0.5085686281649664], ["omg", 0.33219319744638476], ["vaclik", 0.33219319744638476], ["save", 0.33219319744638476], ["patrick", 0.33219319744638476], ["guy", 0.2815031578304008], ["callum", 0.2592185776001257], ["fraser", 0.24844116953617829], ["ryan", 0.22052053353179765], ["mcgregor", 0.20774515507375946]]</t>
  </si>
  <si>
    <t>Great sub that, Callum mcgregor😭🥴 get yourself to fuck Clarke. OMG Patrick schick just scored one of the goals if not the goal of the season 😱.. Dykes should have scored that!... But what a save it was. Ryan Fraser coming on, I always forget he's like 5'4."</t>
  </si>
  <si>
    <t>[["shit", 0.7071067811865475], ["patrick", 0.7071067811865475]]</t>
  </si>
  <si>
    <t>This dykes is absolutely shit. This Dykes fella is so shit. Werner level shit from #Dykes #SCOCZE.. Oh my! Patrick Schick from near the halfway line! #CZE.. What a Goal. Patrick Schick! 🤯🔥. EURO 2020 #SCOCZE. Holy shit! Patrick Schick! He did this in Serie A too. Wow!</t>
  </si>
  <si>
    <t>[["patrick", 0.8944271909999159], ["hlozek", 0.4472135954999579]]</t>
  </si>
  <si>
    <t>All FM players watching Hlozek being subbed in at the euros. @jesuscinty666 - Patrick Schick just scored the goal of the tournament (so far) Patrick Schick, why is that a familiar name now. 😂. Patrick Schick rules, but lol at that poor keeper.</t>
  </si>
  <si>
    <t>[["lyndon", 0.613998403094346], ["david", 0.5467294703025942], ["marshal", 0.44842712485156905], ["dyke", 0.3507220566169071]]</t>
  </si>
  <si>
    <t>Lyndon Dykes Vs Czech Republic.. 💭 David Marshall: 'Surely he's not attempting to lob me from there...' ⏩ Second later... 💭 David Marshall: 'Holy 𝗦𝗰𝗵𝗶𝗰𝗸' EURO 2020. David Marshall tried. 😳. No-one: Absolutely no-one: David Marshall:. David Marshall did his best to keep it out 🧤.</t>
  </si>
  <si>
    <t>[["patrick", 0.8660254037844387], ["nisbet", 0.28867513459481287], ["dyke", 0.28867513459481287], ["forrest", 0.22209381956060015], ["jame", 0.18441168251040094]]</t>
  </si>
  <si>
    <t>Fuck me james Forrest coming on seen it all. Nisbet and Adams in the squad and he picks dykes😭. Patrick Schick was 9/1 to complete a hat-trick. 🎩.. Patrick Schick, goal of the tournament no doubt 🔥🔥 EURO 2020. Oh my! Patrick Schick from near the halfway line! #CZE..</t>
  </si>
  <si>
    <t>[["angl", 0.7071067811865475], ["forrest", 0.7071067811865475]]</t>
  </si>
  <si>
    <t>That would have been something from Forrest #sco EURO 2020. Damn, Forrest did all the hard work there. Lovely run. James Forrest with incredible feet and still no luck…. The Schick goal was quality and looks even better from this angle. 🚀..</t>
  </si>
  <si>
    <t>[["patrick", 0.7071067811865475], ["alreadi", 0.5558956335932816], ["tournament", 0.3143266789868848], ["wrap", 0.3036095904759921]]</t>
  </si>
  <si>
    <t>A few games into the tournament and this guy already has the goal of the tournament 😭😭😭😭❤️. So we have the goal of the tournament wrapped up already #SCOCZE.. Patrick Schick 🚀🚀 👏🏻👏🏻🤯🤯#CZE. PATRICK SCHICK TAKE A BOW! GOAL OF THE TOURNAMENT! 👏🏻👏🏻👏🏻 SCOTLAND ARE IN BIG TROUBLE!</t>
  </si>
  <si>
    <t>[["sensat", 1.0]]</t>
  </si>
  <si>
    <t>Br Football after Schick scored that sensational goal. Absolutely sensational second goal from Schick!🤯. 📡Live streaming di Mola:. #EURODIMOLA. Patrik Schick's wonder goal secures an opening game win for Czech Republic. Simple sensational. EURO 2020.</t>
  </si>
  <si>
    <t>Good save but how was that not a foul on McGinn? Great save from Marshall there #sco. What a save #SCOCZE. Great save from martial. #SCO #CZE. What a save about went into cardiac arrest there #SCO. 15' SHOOT by Valdimir Darida, SAVES by keeper and then corner kick for Czech Rep.</t>
  </si>
  <si>
    <t>[["cross", 0.5318716865522538], ["goe", 0.46740810740372296], ["accur", 0.42601774470351284], ["robertson", 0.41314389821898867], ["wide", 0.38270507017739064]]</t>
  </si>
  <si>
    <t>Robertson has mastered the art of crossing. Can’t think of many others who are so accurate. #SCO. That would have been a goal if it was a LFC player on the end of that Robertson cross. #SCO #SCOCZE. #SCOCZE sublime cross from Captain Andy Robertson reaches Dykes - just wide!</t>
  </si>
  <si>
    <t>O’Donnell tackling his own player like a mad man hahah #SCOCZE. Great of him to tackle his own player off the ball 😂. #SCO. #SCO so amped up they're tackling their own players. EURO 2020. O'Donnell has now tackled his own player and ruined the attack. This is ridiculous.</t>
  </si>
  <si>
    <t>Class save #CZE. It’s a good save. ‘Mon!!!!! #SCO EURO 2020. Huge chance for #SCO. Great football but what a save! EURO 2020. That was goal-bound from Robertson. Need save for #CZE. Crazy save by Czech keeper EURO 2020. Fantastic save #Sco #CZE. What a save from Vaclik.</t>
  </si>
  <si>
    <t>[["schick", 0.599641489131586], ["cross", 0.47662677458001257], ["coufal", 0.45628020011067955], ["assist", 0.32330308136640523], ["gol", 0.18924786117930115], ["lead", 0.18924786117930115], ["defend", 0.17003232901296664]]</t>
  </si>
  <si>
    <t>Coufal assist, don’t think anyone’s surprised. His crosses are unreal. Coufal again with the assist. What a signing he was for west ham 🤑. Coufal with a free run and cross, horrendous defending 🥴. What a cross, and what a header from Schick 👏🏻.</t>
  </si>
  <si>
    <t>[["final", 0.7948262129858367], ["schick", 0.45225142854064804], ["scocz", 0.4046232031576246]]</t>
  </si>
  <si>
    <t>Finally one of those corner kicks paid off!!! EURO 2020. After playing Lawn Tennis with set-pieces, the Czech Republic finally score. #SCOCZE. Schick takes the lead for #SCO. EURO 2020. Finally!! A goal #SCOCZE. Winning a euros game isn't for everyone... #eng #SCOCZE.</t>
  </si>
  <si>
    <t>[["play", 0.6860783605149718], ["penalti", 0.41733024079102254], ["nod", 0.3542745468068332], ["pen", 0.24067643939890906], ["stephen", 0.2053764003815222], ["score", 0.1926895531095949], ["half", 0.18262623249950777], ["12th", 0.1725887921745301], ["premier", 0.17102160291903887]]</t>
  </si>
  <si>
    <t>Mctominay thinks he is still playing in United shirt in trying to win a penalty for Scotland 🤣🤣🤣. Fuck you Steve Clarke. Played quality attacking football against Netherlands just to play like a pussy today. I really want you to score Mctominay but that was not a penalty 😅.</t>
  </si>
  <si>
    <t>[["header", 0.952993861732746], ["assist", 0.30298960295645117]]</t>
  </si>
  <si>
    <t>We should not be losing a goal like that. Go and meet the header. Make it yours.. Big 2nd half ahead. #SCOCZE. Coufal for the assist, 👀. Coufal assist. Wonderful cross. is the first YouTuber to score at EURO 2020, having opened the scoring vs. Scotland. Excellent header. 🔥.</t>
  </si>
  <si>
    <t>[["half", 0.7576067390803937], ["var", 0.4864411309982488], ["ref", 0.4352092082816228]]</t>
  </si>
  <si>
    <t>Disappointing to concede having played well for most of the half. #SCOCZE. Best tackle of the first half half was Stephen O’Donnells on John McGinn when he was through on goal 😑. Ref has Donkey Brains. #SCO. Are they using VAR at this tournament? #SCOCZE.</t>
  </si>
  <si>
    <t>[["che", 0.7615888652131213], ["adam", 0.6480604912995315]]</t>
  </si>
  <si>
    <t>CHE ADAMS SUPER SUB. Che Adams, good sub that. Need Che on your change this game.. Dykes ain’t doing a thing up top. #SCO 0-1 #CZE. Che Adams on. ✅. Ryan Christie off. ❌. Second half begins. Hopefully Che Adams makes the difference for Scotland. Need some more help upfront.</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</si>
  <si>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</si>
  <si>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[["crossbar", 0.7858962848653148], ["patrik", 0.48426158530828256], ["bar", 0.3845227515110192]]</t>
  </si>
  <si>
    <t>HENDRY HITS THE BAR! Oooof Scotland close to levelling the game as Jack Hendry’s effort hits the bar. Much better from Scotland. Hits the crossbar.. Scotland National Team.. #SCOCZE. 🇨🇿 Patrik Schick has now scored 7 goals in his last 11 games for Czech Republic 🔥. EURO 2020.</t>
  </si>
  <si>
    <t>Goal keepers win you matches,look at vaclik with that save. Saved a certain goal there! #CZESCO. I can’t believe one of the potential saves of the tournament will be one that saved an own goal #CZE. Tomas Vaclik just saved Tomas Kalas from scoring a beautiful own goal.</t>
  </si>
  <si>
    <t>[["goal", 0.638893843691725], ["schick", 0.4631070329753915], ["patrick", 0.41037928475487373], ["keeper", 0.30082054297714217], ["gol", 0.18428169299171376], ["decis", 0.17340638598768565], ["bow", 0.16556782647475665], ["hendri", 0.16431723534608655]]</t>
  </si>
  <si>
    <t>That is fucking sensational from Patrik Schick take a bow. Schick's left foot is unreal mate!! Poor decision making by Hendry... Schick just lobbed the keeper from the midfield line. What a freaking goal. Fact: Patrick Schick is the best striker in the world.</t>
  </si>
  <si>
    <t>[["schick", 1.0]]</t>
  </si>
  <si>
    <t>OH BLOODY FOOTBALL GODS WHAT A GOAL BY SCHICK. The Schick they use to hype is finally showing up on the big stage. That tenner I had on Schick to win the… nah I’m kidding. International football is Schick anyway. Patrik Schick is my new favourite footballer #SCOCZE.</t>
  </si>
  <si>
    <t>[["patrik", 0.6511865375437864], ["win", 0.5378430294292788], ["sorri", 0.5354259696877532]]</t>
  </si>
  <si>
    <t>Teamspirt💪🏻🔥 What a win en great atmosphere 🦁 EURO 2020. I actually predicted #SCO to win this game 1-0 lmaooo. I'm sorry Scotland, you'll never win with an ex Norwich goalkeeper #SCOCZE #Euros. OUT OF THIS WORLD FROM PATRIK SCHICK 🤯.</t>
  </si>
  <si>
    <t>[["refere", 0.7906074928802362], ["net", 0.6123232742609308]]</t>
  </si>
  <si>
    <t>Why is Ander Herrera refereeing this match? #SCOCZE. Getting absolutely nothing at all out of this referee #sco. The net looks broken from the aftermath of the goal #SCOCZE EURO 2020. The way the keeper went flying into the net is killing me, Schick did him dirty man💀.</t>
  </si>
  <si>
    <t>[["deflect", 0.8142709026895485], ["save", 0.5804850532383652]]</t>
  </si>
  <si>
    <t>McLaughlin wd have saved that 🤣. 🏴󠁧󠁢󠁳󠁣󠁴󠁿 61' - Stuart Armstrong's effort is deflected onto the roof of of the net. #SCO 0-2 #CZE. Thought that was deflecting in then😭 #SCOCZE EURO 2020. Scotland very unlucky yet again. Stuart Armstrong goes close but it deflects over the bar.</t>
  </si>
  <si>
    <t>[["goalkeep", 0.7254338469516491], ["sweeper", 0.439431511607931], ["marshal", 0.4053291978408397], ["dyke", 0.3411069065272667]]</t>
  </si>
  <si>
    <t>62' LYNDON DYKES !!! A chance from him is still anticipated by goalkeeper. Criminals from a goalkeeper of Marshall's experience. And exactly the Jack Hendry we've known. #SCOCZE. Steve Clarke just changed David Marshall from Sweeper keeper (attack) to Goalkeeper (defend).</t>
  </si>
  <si>
    <t>[["dyke", 0.7305357083252265], ["score", 0.5165995874241104], ["striker", 0.2837348733736112], ["schick", 0.25527109491422584], ["vaclik", 0.2318914290523728]]</t>
  </si>
  <si>
    <t>That’s so poor from Dykes, you have got to be scoring that. This guy Dykes has missed too many chances … he has to score that. Scotland should have scored least one by now. Dykes ugh, come on man. Dykes is actually so bad, great save by Vaclik but he has to be scoring that 😭.</t>
  </si>
  <si>
    <t>[["second", 0.7763343958526946], ["keep", 0.30583944324231666], ["best", 0.29970535214148175], ["half", 0.28040482709915027], ["david", 0.26382035977414453], ["play", 0.25635091842852553]]</t>
  </si>
  <si>
    <t>Ryan Fraser coming on now after refusing to play the opening hour as he wanted to stay fit for the final half hour. That Dykes really the best we have ? He’s fuckin pish. David Marshall did his best to keep it out 🧤. That second goal from Patrick Schick was rude uno golazoooo 🔥🔥🔥.</t>
  </si>
  <si>
    <t>[["sub", 0.560744052834246], ["2nd", 0.5484591134923045], ["net", 0.3436407386305909], ["terrorist", 0.32574474274526327], ["patrick", 0.3065421435214797], ["goalkeep", 0.2580543113585985]]</t>
  </si>
  <si>
    <t>2-0 down and we bring on mcgregor Steve Clarke football terrorist. All FM players watching Hlozek being subbed in at the euros. When that lad scored the 2nd goal for #cze he the net was literally a dot on the horizon. When Dykes missed he was basically inside the net.</t>
  </si>
  <si>
    <t>[["forrest", 0.7957212820986236], ["dyke", 0.4269154440891108], ["final", 0.2306959519811007], ["brought", 0.22249667775935592], ["odonnel", 0.21226829744810416], ["champion", 0.19180099279614285]]</t>
  </si>
  <si>
    <t>James Forrest🤣🤣🤣 clarke needs to stay off the sauce. Oh look ODonnell finally off for Forrest. And Nisbet on for Dykes. Finally Dykes is off, woohoo! He's just subbed o'donnell for forrest I've got no words. Dykes and Forrest should have been on half an hour ago ffs.</t>
  </si>
  <si>
    <t>[["crimin", 0.557726675070103], ["like", 0.5028655595108406], ["ref", 0.4878770270812431], ["marshal", 0.44502043932775165]]</t>
  </si>
  <si>
    <t>David marshall has saved us all game this could be 5/6. The ref's given Scotland nothing today #SCOCZE. Team like Scotland having a player like Billy Gilmour and not using him is absolutely criminal.... Some cracking goalkeeping from Vaclik and Marshall today 🧤.</t>
  </si>
  <si>
    <t>[["schick", 0.5990825106250166], ["blame", 0.42360490815216656], ["goal", 0.3832868149703728], ["sensat", 0.24697410697282893], ["armchair", 0.2258999184822431], ["patrick", 0.21455153322378623], ["patrik", 0.21088027569651366], ["simpl", 0.20626295218688576], ["least", 0.18914719966478064], ["secur", 0.18411774049446014]]</t>
  </si>
  <si>
    <t>Blaming Jack Hendry for taking a shot, not having it. That's football. That patrick schick goal will win goal of the tournament. Patrik Schick's wonder goal secures an opening game win for Czech Republic. Simple sensational. EURO 2020.</t>
  </si>
  <si>
    <t>O'Donnell needs hooked aff. #cze lack pace. Need Hlozek on! #scocze. I think we need to tell McGinn to play with a Scotland top on underneath his villa top from now on.</t>
  </si>
  <si>
    <t>[["assist", 0.7958471667573075], ["coufal", 0.31219936352453137], ["schick", 0.31219936352453137], ["defend", 0.31219936352453137], ["patterson", 0.2724370742189819]]</t>
  </si>
  <si>
    <t>Schick scoring, but it's against Scotland. Damn unlucky for Scotland, nice assist by coufal. This is pish. Shit defending there and we've still have Armstrong and O'Donnell on the pitch. Patterson stops that cross. Shagger saves that header. Fact. Coufal assist 😍😍😍😍😍😍😍.</t>
  </si>
  <si>
    <t>[["patrick", 0.646085425107125], ["half", 0.5425524815381739], ["class", 0.536852333738911]]</t>
  </si>
  <si>
    <t>Czeh Republic strikes against Scotland 👏 1-0 in first half. #SCOCZE. That big striker is a player, he's on a different planet to dykes, he's class with the ball at his feet is fkn rapid. Patrick Schick gives #CZE the lead! EURO 2020..</t>
  </si>
  <si>
    <t>[["rover", 0.26150544918626256], ["rb", 0.26150544918626256], ["nod", 0.26150544918626256], ["pen", 0.26150544918626256], ["penalti", 0.26150544918626256], ["top", 0.25946156140051096], ["forrest", 0.25326996434879306], ["12th", 0.24643244155405578], ["hell", 0.23525749709858304], ["firpo", 0.23514204705971292], ["dosen", 0.23514204705971292], ["refere", 0.2327767319401592], ["look", 0.2319189582233382], ["header", 0.22536113621124093], ["corner", 0.2222230409696739], ["snap", 0.21844869602686612], ["schick", 0.2099713223213345]]</t>
  </si>
  <si>
    <t>Tierney's injury history dosen't look good,go and snap Firpo before Ac Milan takes him. #SCO. Thought that was a pen #SCOCZE. 🇨🇿 Schick nods in his 12th international goal in 27 appearances for Czech Republic ⚽️. EURO 2020. How the hell is that not a penalty??#SCOCZE.</t>
  </si>
  <si>
    <t>[["sub", 0.603157112328022], ["patterson", 0.5551503150113184], ["wrech", 0.33181048007791974], ["adam", 0.33181048007791974], ["thought", 0.3283492594964643]]</t>
  </si>
  <si>
    <t>Looks like Scotland need to Czech themselves before they Wrech themselves #SCO #SCOCZE. HT- Scotland 0-1 Czech Republic. Thoughts on that 1st half? #SCO #SCOCZE. Make some subs. Get che adams on! Patterson, Gilmour and Adams are needed.</t>
  </si>
  <si>
    <t>Che Adams, good sub that. So they sub on Adams but not Patterson for that donkey O'Donnell.</t>
  </si>
  <si>
    <t>[["patrik", 0.7071067811865475], ["almost", 0.7071067811865475]]</t>
  </si>
  <si>
    <t>🇨🇿 Patrik Schick has now scored 7 goals in his last 11 games for Czech Republic 🔥. EURO 2020. That's the second time Scotland almost scored #SCOCZE. And almost a #CZE own goal.</t>
  </si>
  <si>
    <t>[["schick", 0.42169959008475943], ["keeper", 0.40320403129108], ["goal", 0.38831935733503553], ["patrick", 0.2711553181437095], ["belgium", 0.2708723658173036], ["best", 0.26508344802028316], ["net", 0.2644459513644713], ["bow", 0.1456947390974066], ["pure", 0.1456947390974066], ["fabul", 0.1410802079221754], ["world", 0.14050735851544818], ["half", 0.13965695101631648], ["scotch", 0.13840222317765755], ["mile", 0.13572597027570554], ["becam", 0.13564977086552304], ["faddi", 0.13398617532494148], ["cheek", 0.13398617532494148], ["thrash", 0.11938583772033999], ["said", 0.1181822182153196]]</t>
  </si>
  <si>
    <t>What a goal by schick #cze ! Surely the best you will ever see this tournament EURO 2020. Patrick Schick with the best of the Euros so far, doubt anyone tops that, pure class ⚽️. Jack Hendry being the best player in Belgium says a lot about Belgium 😂.</t>
  </si>
  <si>
    <t>[["whatago", 0.7363862360272299], ["patrik", 0.6765613877466323]]</t>
  </si>
  <si>
    <t>WTF was the keeper thinking #SCOCZE but #whatagoal. OUT OF THIS WORLD FROM PATRIK SCHICK 🤯.</t>
  </si>
  <si>
    <t>[["need", 0.6234852697728441], ["second", 0.6176458957300083], ["penalti", 0.23675433699948698], ["foul", 0.22694261775399782], ["herrera", 0.20730124425607702], ["ander", 0.20730124425607702], ["tangl", 0.19046387133212536]]</t>
  </si>
  <si>
    <t>#Sco are now playing for fouls or penalties 🙄. Schick finish! Wonderful second goal for #CZE just when #SCO were getting into it. No need for Scotland to take the plane home after the Group Stage. They just need the Number 18 Bus. Euro 2020 #Scotland.</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</si>
  <si>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</si>
  <si>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[["deflect", 0.7387355331448531], ["shot", 0.6739954095312443]]</t>
  </si>
  <si>
    <t>61' | Good chance for Scotland; Stuart Armstrong drives through on goal; his shot takes a deflection and loops just over the bar. [0-2] Steve Clarke should be absolutely shot for this team selection today 🤢. (61) - Armstrong's shot is deflected over the bar. #SCOCZE.</t>
  </si>
  <si>
    <t>[["dyke", 0.7846002928560633], ["fever", 0.20742908516943534], ["clinic", 0.20742908516943534], ["terribl", 0.20742908516943534], ["save", 0.20728514516088212], ["class", 0.20642800470601985], ["lyndon", 0.2058727530261052], ["score", 0.18649474771691713], ["abeg", 0.1824798134134891], ["footbal", 0.1765281170399899], ["goalkeep", 0.16768217562569399]]</t>
  </si>
  <si>
    <t>🏴󠁧󠁢󠁳󠁣󠁴󠁿Football fever⚽️ come on Scotland! EURO 2020 #YESSIRICANBOOGIE. This Lyndon Dykes player is terrible. What a save. That dykes should be taken off abeg. He is not clinical enough. EURO 2020. EURO 2020 Czech Republic Goalkeeper Is World Class 🔥. Dykes should be scoring that.</t>
  </si>
  <si>
    <t>[["convert", 0.7756699132926906], ["fraser", 0.6311388005918427]]</t>
  </si>
  <si>
    <t>Dykes needs to be converting a chance like that. #sco EURO 2020. Scotland need 2 goals and bring on Ryan Fraser 😭😭😭.</t>
  </si>
  <si>
    <t>[["pleas", 0.7504145953942618], ["best", 0.6609674235688672]]</t>
  </si>
  <si>
    <t>Just dykes to score please. EURO 2020 best goals so far. That goal in the #CZE #SCO game was insane but the best part might be the goalie doing whatever this was…. Dykes want to SCORE please x. David Marshall did his best to keep it out 🧤.</t>
  </si>
  <si>
    <t>[["sub", 0.7243020856558635], ["select", 0.6894827689758216]]</t>
  </si>
  <si>
    <t>He's made 3 subs. Gilmour isn't on. Patterson isn't in. O'Donnell is still on. Steve Clarke has got this game all wrong. Team selection and subs have been shocking.</t>
  </si>
  <si>
    <t>[["bow", 1.0]]</t>
  </si>
  <si>
    <t>Take a bow David Marshall. Scotland’s latest “Gaff”. Patrick Shick. Take a bow. EURO 2020. SCHICK TAKE A BOW, WHAT A GOAL.. PATRIK SCHICK TAKE A BOW! WHAT A GOAL! #CZE.. PATRICK SCHICK TAKE A BOW! GOAL OF THE TOURNAMENT! 👏🏻👏🏻👏🏻 SCOTLAND ARE IN BIG TROUBLE!</t>
  </si>
  <si>
    <t>[["patterson", 1.0]]</t>
  </si>
  <si>
    <t>FINALLY TAKES O’DONNELL OFF AND PUTS ON FORREST WHEN PATTERSON IS SITTING THERE 😂😂😂😂😂😂😂😂😂😂. Got pick your team with best players starting if there regardless Patterson Gilmour Should have started 🏴󠁧󠁢󠁳󠁣󠁴󠁿.</t>
  </si>
  <si>
    <t>[["feet", 0.6406973239381089], ["shetland", 0.556066470347214], ["neither", 0.5294308450157935]]</t>
  </si>
  <si>
    <t>John McGinn needs to stay on his feet. Patrik Schick scored that 2nd Czech goal from Shetland! EURO 2020 #SCOCZE. Now I'm no expert, but then again, neither is Steve Clarke. Not only was his starting line-up all wrong, but so were his subs.</t>
  </si>
  <si>
    <t>[["exact", 0.49969722839044933], ["score", 0.4599786084752877], ["player", 0.4508133826171091], ["classat", 0.4095666330021045], ["sciv", 0.4095666330021045]]</t>
  </si>
  <si>
    <t>These Czech players are absolute world class…at getting bodies in the way and blocking shots SCIvs CZE EURO 2020. How have Scotland not scored? EURO 2020. James forrest and ryan Fraser are the exact same player😭. Omg #CZE you did not just score that😱.</t>
  </si>
  <si>
    <t>[["coufal", 0.6237487864005421], ["footbal", 0.5750456318335748], ["ball", 0.5293958563995148]]</t>
  </si>
  <si>
    <t>Coufal what a ball. I’m convinced that Coufal is just not ever comfortable shooting the ball lol ⚒🇨🇿. Scotland are a shocking football side... EURO 2020. That cross was Coufal. Benny Blanco how did I do? What a game of football this is Euro 2020.</t>
  </si>
  <si>
    <t>[["risk", 1.0]]</t>
  </si>
  <si>
    <t>Bet placed on triple win for Scotland, Poland and Sweden! Farfetched, I know, but I love a good risk! ⚽ EURO 2020 Euro 2021. Risk is all on #sco this morning. The book is cheering for a Draw or a #CZE win.</t>
  </si>
  <si>
    <t>[["stamp", 0.7426477562640003], ["pitch", 0.6696822456329913]]</t>
  </si>
  <si>
    <t>Robertson stamps on a Czech players foot, than gets his stamped on , and wants a free kick 🤣🤣🤣🤣🤣🤣#SCOCZE. Tell you what I'd run on the pitch and sign Scott McTominay for 30 million now. Best player on the pitch by a mile tonight and a CDM.</t>
  </si>
  <si>
    <t>Great save by Vaclik. What a save... You want that to be someone better at striking but well done Andy. #SCOCZE. Good save but he can't save it if you hit that across him #SCOCZE EURO 2020. What a save from Vaclik. What a save that was #SCOCZE.</t>
  </si>
  <si>
    <t>[["best", 0.6405156149050013], ["left", 0.5526702584287114], ["convinc", 0.5331935225705667]]</t>
  </si>
  <si>
    <t>I was convinced that ball was gonna go in! EURO 2020. Andy Robertson is so good down that left. Just imagine what Scotland would be like had they started their best left-back.. #SCOCZE. Easily the second-best game of the tournament so far #SCOCZE.</t>
  </si>
  <si>
    <t>[["schick", 0.6112875504773446], ["coufal", 0.5519650861710742], ["assist", 0.4333942565221543], ["lead", 0.21840226992441994], ["goal", 0.21821704508776946], ["cross", 0.19624796156444202]]</t>
  </si>
  <si>
    <t>Patrik Schick vs Scotland (A) | Goals, skills, assists. Football manager strikes again.. Schick!!!!. Of course coufal crossed it lool. Schick gives the Czech’s the lead. #SCOCZE. Coufal assist come on the Czech boys. GOAL! Scotland 0-1 Czech Republic (Schick 42').. EURO 2020.</t>
  </si>
  <si>
    <t>[["lawn", 0.5332185802472021], ["gol", 0.3128946097276319], ["sideshow", 0.3128946097276319], ["albeit", 0.3128946097276319], ["defend", 0.3128946097276319], ["cross", 0.30343416482802327], ["footbal", 0.2897707449417677], ["cruel", 0.27676365305632095], ["didnt", 0.2672607375404465]]</t>
  </si>
  <si>
    <t>GOL | #SCO : 0 - #CZE : 1 (42’ Schick) After playing Lawn Tennis with set-pieces, the Czech Republic finally score. #SCOCZE. Sideshow Kral looks a decent footballer. #CZE EURO 2020. #SCOCZE to be fair, lovely goal in from the Czechs, albeit I am wanting 🏴󠁧󠁢󠁳󠁣󠁴󠁿 to win this one….</t>
  </si>
  <si>
    <t>[["12th", 0.7430300195606896], ["nod", 0.5594480644939405], ["bad", 0.27231428217031856], ["need", 0.24651406631608105]]</t>
  </si>
  <si>
    <t>Need more from Mcginn #SCOCZE. Scotland not going to score without Che Adams, Ryan Fraser and Billy Gilmour out there. Bad starting selection by Clarke now 1-0 down ffs. 🇨🇿 Schick nods in his 12th international goal in 27 appearances for Czech Republic ⚽️. EURO 2020.</t>
  </si>
  <si>
    <t>[["pen", 0.6079640976723899], ["penalti", 0.6026799618283699], ["proper", 0.19641421423956645], ["header", 0.19515658695337934], ["bring", 0.19450039836977337], ["patrik", 0.18733848274451104], ["odonnel", 0.18048773242091648], ["assist", 0.17542662749288288], ["score", 0.16585338669532024], ["che", 0.1634261344339351]]</t>
  </si>
  <si>
    <t>Scotland National Team get Billy Gilmour on and start playing some proper football🙂. I really want you to score Mctominay but that was not a penalty 😅. Never a pen, you can’t run into a player and claim you’ve been fouled #SCOCZE.</t>
  </si>
  <si>
    <t>[["differ", 0.6361735323239809], ["obstruct", 0.34457917708684266], ["free", 0.32890605855711785], ["conced", 0.3087967259976232], ["anywher", 0.3059975414775961], ["kick", 0.30284012920129466], ["patrick", 0.29608643147088637]]</t>
  </si>
  <si>
    <t>Anywhere on the field thats a free kick that obstruction. #SCOCZE. That Czech defender steps across McTominay there. Given as a free-kick every day of the week. ⚽ HALF TIME: Scotland 0-1 Czech Republic. Patrick Schick's goal the difference at the break..</t>
  </si>
  <si>
    <t>[["enough", 0.3861695760995291], ["wrasslin", 0.3861695760995291], ["mctintin", 0.38044589374547894], ["cheer", 0.3660269093178318], ["final", 0.3558956557479802], ["halftim", 0.3163533501565665], ["till", 0.3138454002321434], ["forrest", 0.3127159180393879]]</t>
  </si>
  <si>
    <t>Finally won a euro bet cheers schick. Mctintin and mcginn midfield pair, how was they gonna win? There aren't enough football's for this match. EURO 2020. #SCOCZE. Are they aware it's football and no wrasslin'? #SCOCZE.</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</si>
  <si>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</si>
  <si>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[["second", 0.7204475830863699], ["half", 0.6935093943307532]]</t>
  </si>
  <si>
    <t>My half time analysis #sco. Jesus christ this second half #SCOCZE EURO 2020. The start of this second half! 🤯🤯🤯🤯 EURO 2020 #SCOCZE. How have Scotland not scored in this second half? Sub Che Adams already making a real difference #SCOCZE.</t>
  </si>
  <si>
    <t>[["goal", 0.6266820839667344], ["schick", 0.45073366202278664], ["keeper", 0.42733146017656654], ["bow", 0.23735985029968334], ["finish", 0.23735985029968334], ["lob", 0.23735985029968334], ["freak", 0.2290795911798744]]</t>
  </si>
  <si>
    <t>Oh my daaaays Patrick Schick take a bow 👏🏻👏🏻👏🏻. What a goal, Schick !!! Best goal in the tournament so far #SCOCZE. What a finish!!!!!! What's the keeper doing out there 😂 #CZE #sco. Schick just lobbed the keeper from the midfield line. What a freaking goal.</t>
  </si>
  <si>
    <t>TOpic</t>
  </si>
  <si>
    <t>[["patrick", 0.6785660500255604], ["footbal", 0.3392830250127802], ["schick", 0.32661186203705656], ["goal", 0.291130184331254], ["outrag", 0.28410048791642895], ["holi", 0.27757709090602334], ["he", 0.2743007900255098]]</t>
  </si>
  <si>
    <t>That is one of the most outrageous goals in a major football tournament! ⚽️ #SCOCZE. Yooooooooo Patrick Schick, class. Schick isn’t a great footballer but he’s a decent little player. Holy fuck. That is winning the GOAL of the tournament surely #SCOCZE.</t>
  </si>
  <si>
    <t>[["patrik", 0.8536898760209283], ["blame", 0.322604388754601], ["vibe", 0.31597363814505575], ["second", 0.2594237150551573]]</t>
  </si>
  <si>
    <t>Anybody blaming the keeper for being 3 miles off his line? Not in the commentary team anyway #SCOCZE. Need a mctominay goal now for the vibes. OUT OF THIS WORLD FROM PATRIK SCHICK 🤯. That Patrick Shick's second goal though. The Mcs are struggling. #SCOCZE EUROS 2020.</t>
  </si>
  <si>
    <t>[["save", 0.5895676342490571], ["mclaughlin", 0.3311388608103615], ["gif", 0.3311388608103615], ["scocz", 0.3155765757807285], ["schick", 0.314173917056568], ["drob", 0.2854417502625157], ["pictur", 0.2783409299952496], ["kick", 0.27542625678154986]]</t>
  </si>
  <si>
    <t>Scotland National Team drob David Marshall he is fucking joke as goalkeeper. McLaughlin wd have saved that 🤣. 🤯 Patrik Schick's second goal in pictures 👇 EURO 2020. Patrick Schick, what a kick, all the Scots think you're a dick. #SCOCZE #Schick. Schick that outta the net SCOv CZE.</t>
  </si>
  <si>
    <t>[["need", 0.7107173409379045], ["screamer", 0.7034776906840434]]</t>
  </si>
  <si>
    <t>If we're genuinely selling bellerin we should go all out for coufal as we need a rb. Player's player this Czech. We need to get Dykes off. Scotland National Team Need a goal fast. Just owa man nearly got it there #SCOCZE 🏴󠁧󠁢󠁳󠁣󠁴󠁿 Euros 2021. Mcginn screamer needed.</t>
  </si>
  <si>
    <t>[["dyke", 0.8406061009494697], ["got", 0.2504719956027887], ["clinic", 0.2504719956027887], ["striker", 0.25047199453676655], ["score", 0.23714832166501218], ["doo", 0.22120894052520748]]</t>
  </si>
  <si>
    <t>Got to be a player to have a hair doo like dykes!! I’m a better striker than dykes get him aff the pitch I’ll be there in 10 minutes. This guy Dykes has missed too many chances … he has to score that. Dykes has to score then. He has not been on it today. Put your foot through it.</t>
  </si>
  <si>
    <t>[["keep", 0.7405622889457797], ["plaudit", 0.42383437762326764], ["sub", 0.3917818350249445], ["keeper", 0.344149546390188]]</t>
  </si>
  <si>
    <t>Vaclik will finally get the plaudits he deserves at the end of this tournament. How's there been three subs and Stephen O'Donnell is still on?? 😂😂😂. Dykes hits it right at the keeper. I can't keep defending you like this. David Marshall did his best to keep it out 🧤.</t>
  </si>
  <si>
    <t>[["call", 1.0]]</t>
  </si>
  <si>
    <t>If only #SCO called up it's best player.... Steve Clarke trying his best not to be called a nonce, Mans allergic to young players.</t>
  </si>
  <si>
    <t>[["net", 0.37140132210272153], ["fukin", 0.37140132210272153], ["hlozek", 0.37140132210272153], ["tri", 0.3615332677416523], ["70min", 0.345034567532665], ["accur", 0.345034567532665], ["sub", 0.3336905970936688], ["second", 0.32562209685993204]]</t>
  </si>
  <si>
    <t>That second goal.... #SCO. So what was Scotland’s keeper trying to do🤔. EURO 2020. All FM players watching Hlozek being subbed in at the euros. Stephen O'Donnell has had 18 accurate passes in 70mins of football, fukin 18!!! Vydra good sub to bring on here. Get in behind.</t>
  </si>
  <si>
    <t>[["nisbet", 1.0]]</t>
  </si>
  <si>
    <t>Didn’t want to say it before the tournament but we don’t need dykes, he was good before we had better options in adams n nisbet. Needs to be Nisbet Adams against England.</t>
  </si>
  <si>
    <t>[["vauxhal", 0.6143059723888971], ["cheeki", 0.5878720372745802], ["half", 0.5263408022165549]]</t>
  </si>
  <si>
    <t>Steve Clarke needs to fuck off back to the Vauxhall Astra he lives in. Mcginn and mctominay 2nd half. The first Czech goal was good. The second was just feckin cheeky lol #SCOCZE.</t>
  </si>
  <si>
    <t>[["forrest", 0.6135738063649248], ["half", 0.5996238178748455], ["sub", 0.5137883427833411]]</t>
  </si>
  <si>
    <t>He's just subbed o'donnell for forrest I've got no words. Dykes and Forrest should have been on half an hour ago ffs. 5 subs, Gilmour and Patterson not even brought on. Pathetic. James Forrest has half my heart and Kieran Tierney has the other half🤍🤍🤍🤍.</t>
  </si>
  <si>
    <t>[["dive", 0.7369385055841056], ["need", 0.6759597909546581]]</t>
  </si>
  <si>
    <t>McGinn needs to stop this fucking diving pish. Schick should’ve scored that. We need that hattrick. Scotland love to dive a lot don’t they?! Jeeez we need to be aware of this for Friday 🙄 #SCOCZE EURO 2020.</t>
  </si>
  <si>
    <t>[["score", 1.0]]</t>
  </si>
  <si>
    <t>The score just doesn’t reflect how brilliant #SCO are playing SCOv CZE. How have Scotland not scored? EURO 2020. Oh, the Czechs scored? #SCOCZE. How have #SCO NOT SCORED???? Not sure how Scotland haven’t scored today EURO 2020.</t>
  </si>
  <si>
    <t>Just czech'd out that second goal, was a Schick finish. Well this has been pretty awful. Painful at times to watch. What the hell was David Marshall thinking for that second goal?? PATRICK SCHICK, THAT IS INCREDIBLE! A second goal from obscene range. 😮.</t>
  </si>
  <si>
    <t>[["result", 0.6432379151217119], ["least", 0.3511196147635856], ["final", 0.3511196147635856], ["half", 0.2949854050204551], ["differ", 0.29248627059602234], ["need", 0.2909264545100045], ["rule", 0.2871797472148802]]</t>
  </si>
  <si>
    <t>Typical. 1-1 at the half (as it should have been) would have made a difference #SCOCZE. Football rule number 1 #SCO. Now we need to go get results against England and Croatia thank you Steve Clarke prick. Sub-optimal result there EURO 2020. #SCOCZE final.</t>
  </si>
  <si>
    <t>Great save by Vaclik. What a save... You want that to be someone better at striking but well done Andy. #SCOCZE. Good save but he can't save it if you hit that across him #SCOCZE EURO 2020. What a save from Vaclik. What a save that was #SCOCZE. Good shot good save 😵. #SCOCZE.</t>
  </si>
  <si>
    <t>[["schick", 0.6449553702264469], ["cross", 0.42937327608665926], ["coufal", 0.4227421678687566], ["goal", 0.38399691498802035], ["assist", 0.1400890605589876], ["lead", 0.1400890605589876], ["gol", 0.1400890605589876], ["patrick", 0.08685234258255552], ["ball", 0.08419278417421855]]</t>
  </si>
  <si>
    <t>Scotland should be winning this, Robertson been class. Lucky goal for schick. 1-0 Czech Republic. Patrick Schick gives them the lead vs Scotland!. Coufal has been torched at the back by Robertson but that was a great cross for Schick to open the scoring #CZE 1-0.</t>
  </si>
  <si>
    <t>[["header", 0.469100444985172], ["defend", 0.3524208670453376], ["quad", 0.33593535315856254], ["chanc", 0.3358051228869422], ["half", 0.30876097708530736], ["oan", 0.29813568969044413], ["get", 0.2760672390126371], ["dear", 0.27094162459563015], ["take", 0.227003623819046], ["schick", 0.21155449148485217]]</t>
  </si>
  <si>
    <t>Right get all the good players oan no, mcgregor gilmour patterson n dykes quad HT changes. Poor defending from #SCO but great header from #CZE. What you get for not taking your chances #SCOCZE. GOAL! Czech Republic take the lead just before half time!. #SCO 0-1 #CZE.</t>
  </si>
  <si>
    <t>[["pen", 0.4816332358713069], ["nod", 0.4604244492415989], ["penalti", 0.45984387438170404], ["appear", 0.37271011748326943], ["12th", 0.267391006027572], ["mctominay", 0.187491303341499], ["need", 0.18471708220662697], ["foul", 0.183222146978855], ["intern", 0.17699671643376155]]</t>
  </si>
  <si>
    <t>McTominay driving the lane and trying to draw a blocking foul there. 🇨🇿 Schick nods in his 12th international goal in 27 appearances for Czech Republic ⚽️. EURO 2020. Why did I think that's a pen for #Sco. 👀. I really want you to score Mctominay but that was not a penalty 😅.</t>
  </si>
  <si>
    <t>[["penalti", 0.41509688999661154], ["excel", 0.3559117641012478], ["var", 0.3497512759563055], ["youtub", 0.3401298427413894], ["header", 0.2419774348494747], ["assist", 0.22002854711684228], ["hard", 0.21850088942616447], ["score", 0.18801248825673006], ["coufal", 0.18632901110730624], ["poor", 0.18135752457291993], ["proper", 0.18120800846032703], ["donnel", 0.17619024491899152], ["use", 0.174874558498715], ["wouldv", 0.17264128651860672], ["noth", 0.17078476959237865], ["adam", 0.1616031779061279], ["che", 0.16060075249114694]]</t>
  </si>
  <si>
    <t>That’s a hard one to take, but we can get back into this #SCO. is the first YouTuber to score at EURO 2020, having opened the scoring vs. Scotland. Excellent header. 🔥. Manchester United players are used crying for penalties🤣🤣🤣🤣 EURO 2020.</t>
  </si>
  <si>
    <t>[["half", 0.4601066771900202], ["cheer", 0.4158792876139283], ["final", 0.40798105398086526], ["enough", 0.3195661028177605], ["mctintin", 0.2669632840668906], ["differ", 0.23353820332628425], ["patrick", 0.23047417794274766], ["iniesta", 0.2301809475933316], ["footbal", 0.19892481763659597], ["break", 0.19602619014738298], ["need", 0.19200722949923663]]</t>
  </si>
  <si>
    <t>⚽ HALF TIME: Scotland 0-1 Czech Republic. Patrick Schick's goal the difference at the break.. Finally won a euro bet cheers schick. Mctintin and mcginn midfield pair, how was they gonna win? There aren't enough football's for this match. EURO 2020. #SCOCZE.</t>
  </si>
  <si>
    <t>Che Adams is replacing Ryan Christie for the second half. Going up top with Dykes. Second Half.. Scotland - Czech Republic. EURO 2020. Gonna go up and close my eyes for this second half 💀 working in an English bar when you’re team are playing is disheartening enough 🥲 #SCO.</t>
  </si>
  <si>
    <t>[["patrik", 0.8117962529655283], ["vaclik", 0.5839407878125383]]</t>
  </si>
  <si>
    <t>🇨🇿 Patrik Schick has now scored 7 goals in his last 11 games for Czech Republic 🔥. EURO 2020. VACLIK, WHAT A SAVE!!! 📸 - Tomas Vaclik with a fantastic save to deny Scotland from equalizing!. (49) - Kalas nearly chips the ball over his own keeper but Vaclik reacts. #SCOCZE.</t>
  </si>
  <si>
    <t>[["goal", 0.5346793132229399], ["schick", 0.5225482480571186], ["keeper", 0.328754002797413], ["goalkeep", 0.32690492229915497], ["best", 0.2567713098868268], ["gol", 0.23228368830630036], ["way", 0.1904630145975577], ["wow", 0.1718871446314674], ["bow", 0.13755673621109357], ["finish", 0.1141860259050409], ["lob", 0.09190465626280363]]</t>
  </si>
  <si>
    <t>What a fucking goal ! Take a bow Patrick Schick ! What a finish!!!!!! What's the keeper doing out there 😂 #CZE #sco. What a goal by schick #cze ! Surely the best you will ever see this tournament EURO 2020. What a goal by Schick! From the half way line 👏.</t>
  </si>
  <si>
    <t>[["schick", 0.6061494759317355], ["lob", 0.6037885240134863], ["patrick", 0.3181204818929342], ["best", 0.2923306344787707], ["patrik", 0.28524443945981615]]</t>
  </si>
  <si>
    <t>Patrick Schick 🥶🥶🥶🥶. These are type of strikers we should be linked to. Schick just lobbed the keeper from the midfield line. What a freaking goal. Patrik Schick is the best player in the world tbh. Schick just one up yarmolenko with the best goal shout.</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</si>
  <si>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</si>
  <si>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[["tudn", 0.47120576094731687], ["usa", 0.47120576094731687], ["patrik", 0.36259605857596783], ["lmao", 0.2526522677675205], ["sorri", 0.2526522677675205], ["blame", 0.250861448461835], ["win", 0.22273307083456212], ["unbeliev", 0.19330418309405772], ["second", 0.16444404813434044], ["need", 0.1579084256930401], ["ff", 0.15497715485337116], ["bloodi", 0.15452331812447181], ["goalkeep", 0.15405488954949403], ["patrick", 0.15256090450477158]]</t>
  </si>
  <si>
    <t>I actually predicted #SCO to win this game 1-0 lmaooo. Nobody should blame that keeper,all blame should be directed to the player that decided to shoot from that range #SCOCZE. Patrick Schick with a 🎯. His second of goal of the day puts the Czech Republic (+175) up 2-0 🔥.</t>
  </si>
  <si>
    <t>[["gif", 0.648447953145279], ["react", 0.6311755613722287], ["stunner", 0.3052935847924712], ["2nd", 0.2965273846927329]]</t>
  </si>
  <si>
    <t>Oh dear #SCOCZE Great 2nd goal, given away by Scotland midfield! 🏴󠁧󠁢󠁳󠁣󠁴󠁿🆚🇨🇿 Drop a GIF 📱👇 to react to Patrik Schick's second-half stunner! EURO 2020. A day to remember for Patrik Schick.. that 2nd goal wow! Scotlandv Czech Republic. EURO 2020.</t>
  </si>
  <si>
    <t>[["save", 0.6263615733694979], ["class", 0.4333261309305247], ["pictur", 0.29631129442496473], ["player", 0.2806923743524932], ["bow", 0.2752260041796936], ["way", 0.25390605495054863], ["net", 0.2518795721379988], ["gif", 0.2228230115085451]]</t>
  </si>
  <si>
    <t>The way the keeper went flying into the net is killing me, Schick did him dirty man💀. U still must believe in the mctominay master class 🏴󠁧󠁢󠁳󠁣󠁴󠁿. 🎇 EURO 2020 𝗗𝗔𝗬 𝟰! 🎇. Which player are you most excited to watch? 🤩. Dykes should have scored that!... But what a save it was.</t>
  </si>
  <si>
    <t>[["crack", 0.39372436990879445], ["patrick", 0.3585276464476482], ["duolingo", 0.3331042687607014], ["terrorist", 0.3311096643020573], ["vaclik", 0.33024742901021625], ["reintroduct", 0.3230720419066785], ["feck", 0.31443273114328385], ["turn", 0.3100759252195035], ["honour", 0.29562316074226336]]</t>
  </si>
  <si>
    <t>This keeper Vaclik been really good as well feck. #cze will win in honour of my 400 day Czech streak on Duolingo 😃. TOP SAVE BY VACLIK 🇨🇿. Patrick schick should be play in premier league. This has turned into a cracking game of football.. #SCOCZE.</t>
  </si>
  <si>
    <t>[["count", 0.5309003712718321], ["doo", 0.4946955399307224], ["got", 0.3485852142461404], ["clinic", 0.27672332974470126], ["yard", 0.269906791772696], ["take", 0.23250060629600025], ["patrick", 0.22458634288029988], ["porn", 0.22295421193512777], ["part", 0.21972676564101418]]</t>
  </si>
  <si>
    <t>Patrick Schick. take a bow!!! #SCOCZE. Scotland 🤣🤣🤣🤣🤣🤣🤣 Its The Taking Part That Counts 👀 EURO 2020. Got to be a player to have a hair doo like dykes!! PATRIK SCHICK TAKE A BOW! WHAT A GOAL! #CZE. #SCO must be clinical now. Any chance they get, they have to take it. EURO 2020.</t>
  </si>
  <si>
    <t>[["dyke", 0.6994158603824341], ["plaudit", 0.29602867581231296], ["score", 0.281037994353096], ["vaclik", 0.27693641113130063], ["could", 0.22381487681820353], ["galactick", 0.22275237363028844], ["stu", 0.22098696631456885], ["fuck", 0.20984733188739454], ["think", 0.19693400637648792], ["schick", 0.19011176547038827]]</t>
  </si>
  <si>
    <t>Dykes is rubbish. How do you not score there ? Vaclik will finally get the plaudits he deserves at the end of this tournament. Dykes should have scored that!... But what a save it was. What the actual fuck is lyndon dykes doing at an international football tournament.</t>
  </si>
  <si>
    <t>[["keeper", 0.6395488044438391], ["best", 0.5040838519469285], ["keep", 0.32225831427379914], ["david", 0.2971336155021623], ["marshal", 0.25473395785924347], ["schick", 0.2003929824227274], ["goalkeep", 0.1992266389565294]]</t>
  </si>
  <si>
    <t>This#CZE keeper is playing out of his mind... wow #SCO getting goalied. This #CZE keeper is having a hell of a game, what a save!!! Scotland Keeper should be man of the match. Schick’s goal will be goal of the tournament. David Marshall did his best to keep it out 🧤.</t>
  </si>
  <si>
    <t>[["second", 0.5694350435027906], ["win", 0.37607900172329556], ["sure", 0.2631696758237208], ["net", 0.26199434636322394], ["tri", 0.26021933752107], ["sub", 0.24063469113604932], ["overr", 0.22980733292244043], ["fukin", 0.21165560136570932], ["terrorist", 0.19847555188974425], ["slow", 0.1671911660425114], ["shatta", 0.16334743388938908], ["kora", 0.16334743388938908], ["lie", 0.16207439305607985], ["clark", 0.16187041094743268]]</t>
  </si>
  <si>
    <t>Not sure what Clarke’s tactics are here tbh. Make sure we don’t win?!? 😡 #sco. Imagine playing Shatta Wale's enter the net song in the background of Patrick Schick'a keeper enter the net simple koraaa😂😂. All FM players watching Hlozek being subbed in at the euros.</t>
  </si>
  <si>
    <t>[["nisbet", 0.7193093236495757], ["2nd", 0.5067431227597566], ["fifa", 0.47518996669382674]]</t>
  </si>
  <si>
    <t>When that lad scored the 2nd goal for #cze he the net was literally a dot on the horizon. When Dykes missed he was basically inside the net. Needs to be Nisbet Adams against England. Mcginn and mctominay 2nd half. Hlozek is a good young player. Always buy him in FIFA 🤣.</t>
  </si>
  <si>
    <t>[["forrest", 0.4254168226057856], ["need", 0.3782509953427963], ["goal", 0.3658885221299854], ["brought", 0.23809764948255047], ["nisbet", 0.23809764948255047], ["sensat", 0.23809764948255047], ["champion", 0.2291111356030456], ["pathet", 0.2265736929561457], ["leagu", 0.19969154970359076], ["terrorist", 0.19422102329873522], ["cunt", 0.1770907521307407], ["second", 0.17557646348569736], ["commentari", 0.17175160340555762], ["club", 0.16458256781034114], ["winner", 0.15670311139080917], ["patterson", 0.1566226088150948], ["sub", 0.15071160051445917]]</t>
  </si>
  <si>
    <t>Scotland need goals and they bring on Nisbet the hibs goal machine.... Right o. Schick finish! Wonderful second goal for #CZE just when #SCO were getting into it. He’s brought on McGregor and Forrest over gilmour and Patterson... get clarke and his terrorist football to fuck.</t>
  </si>
  <si>
    <t>[["min", 0.6178557951292404], ["dive", 0.5987966935245725], ["need", 0.5096044900206956]]</t>
  </si>
  <si>
    <t>McGinn needs to stop this fucking diving pish. O'Donnell subbed off 78 mins too late. Schick should’ve scored that. We need that hattrick. Scotland love to dive a lot don’t they?! Jeeez we need to be aware of this for Friday 🙄 #SCOCZE EURO 2020.</t>
  </si>
  <si>
    <t>[["wrong", 0.5056872654884581], ["sub", 0.49798636017960013], ["steve", 0.3816672800388171], ["scale", 0.3504410942329871], ["clark", 0.34902757821858627], ["ref", 0.3255623612478965]]</t>
  </si>
  <si>
    <t>5 subs, Gilmour and Patterson not even brought on. Pathetic. On a scale of 10-10 how much does this ref need the Czechs to win? EURO 2020 #Scotland. This lands at the feet of Steve Clarke, not only did he get the starting 11 wrong but he then got his subs all wrong.</t>
  </si>
  <si>
    <t>[["goal", 0.4082715453913659], ["need", 0.37472120072703224], ["schick", 0.37392001121719837], ["final", 0.2677585238628693], ["least", 0.2677585238628693], ["bow", 0.26775852285024465], ["result", 0.24720429210835515], ["take", 0.2252552260994426], ["patrik", 0.21185029200470443], ["patrick", 0.20628122145622713], ["optim", 0.2019911581665827], ["audaci", 0.18620300270150142], ["patterson", 0.18602213295707065], ["typic", 0.16923275033837448]]</t>
  </si>
  <si>
    <t>That patrick schick goal will win goal of the tournament. Patrik Schick take a bow. Goal of the tournament. Don’t care what comes after. Gilmour Adams and Patterson all need to start against England. 5 subs, Gilmour and Patterson not even brought on. Pathetic.</t>
  </si>
  <si>
    <t>[["cost", 0.5914941303896579], ["doesnt", 0.5484471241122884], ["bow", 0.42823917969736197], ["clark", 0.40737163713208246]]</t>
  </si>
  <si>
    <t>PATRIK SCHICK TAKE A BOW. Can't write off any team in the EURO 2020. Take a bow #Schick 👏🙌. So disappointing, not taking our chances has cost us big time 😢. #SCO EURO 2020. Scotland were woeful.. Doesn’t help when their best player (Billy Gilmour) doesn’t even get on the pitch.</t>
  </si>
  <si>
    <t>[["masterclass", 0.7548599798331184], ["incom", 0.6558859739667744]]</t>
  </si>
  <si>
    <t>An incoming masterclass from Pogba, Kante Giroud EURO 2020. Pogba masterclass today. Paul Labile Pogba masterclass incoming 💯❤️ 🔥. Pogba and Mbappe masterclass incoming to save my fantasy team. Need a Pogba masterclass now. Another Pogba masterclass incoming.</t>
  </si>
  <si>
    <t>[["alreadi", 0.8550681385853726], ["kant", 0.5185156491140323]]</t>
  </si>
  <si>
    <t>Kante already with the assignment lol. Kante has already started work. lol. One tackle for Kante already. EURO 2020. Kante body checking already.</t>
  </si>
  <si>
    <t>[["kant", 0.7071067811865475], ["pavard", 0.7071067811865475]]</t>
  </si>
  <si>
    <t>@reganglackin98 Scotland’s Kante 👏🏻👌. Kante what a player. Kante is so good man. Kante wayyyyyy 😭. @EURO2020 @FrenchTeam Carried by kante. @EURO2020 @FrenchTeam Kante and others. Pavard honestly f u. Pavard is STRUGGLING! 😂 #HUNFRA EURO 2020. Pavard il guy. PAVARD YC.</t>
  </si>
  <si>
    <t>[["yellow", 1.0]]</t>
  </si>
  <si>
    <t>EURO 2020 #HUNFRA reference should give 2 yellow cards - Varane and Pavard! Pavard is gonna get cooked after that yellow on that flank. First yellow of the match to Paward ! #HUNFRA. First yellow card.. it’s been coming for a while to be fair EURO 2020 #HUNFRA. Pavard yellow hmmm.</t>
  </si>
  <si>
    <t>[["griezmann", 0.4904461273688137], ["offsid", 0.45627862726987123], ["save", 0.38418666376476945], ["gulasci", 0.2898451879675152], ["kant", 0.2898451879675152], ["gulacsi", 0.256525330888556], ["fuck", 0.2394235525584789], ["miss", 0.2142651912133009], ["anyway", 0.21150605727888805], ["doubl", 0.14791647817793746]]</t>
  </si>
  <si>
    <t>Kante is just so so so so so so good man. Griezmann was lucky he was offside how did he miss that. Credit to Gulacsi on the double save as well. Thought he should've done better with the first save but he reacted very well with the second save.</t>
  </si>
  <si>
    <t>[["header", 0.8164965809277261], ["giroud", 0.4082482904638631], ["deliveri", 0.4082482904638631]]</t>
  </si>
  <si>
    <t>Giroud would have 2 goals by now. 8 yards out free header 200 mill mbappe get fucked. Lucas Digne deliveries are top notch. 👌 #HUNFRA. That was such a beautiful delivery from Digne from the left flank. 👌👌. Mbappe should do better with that header.</t>
  </si>
  <si>
    <t>[["kimpemb", 1.0]]</t>
  </si>
  <si>
    <t>Kimpembe cannot do that. He's fortunate not to get carded. #HUNFRA. I would definitely take Kimpembe at Manchester United. Kimpembe, what was that? 🤦‍♂️. Don't rate kimpembe at all. Kimpembe body checked him #HUNFRA. France will not win this tournament starting Kimpembe.</t>
  </si>
  <si>
    <t>[["pogba", 0.5773502691896257], ["header", 0.5773502691896257], ["live", 0.5773502691896257]]</t>
  </si>
  <si>
    <t>Pogba i love u man. .. And Paul Pogba ♥️. Give the FK to Pogba he's scoring. Updated Headers stats for Mbappe. #HUNFRA. Look at Pogba balling😍 Pogba playing for France is so amazing to watch. Link to watch live please #HUNFRA. 🔴Live Hungary 🇭🇺 vs France 🇫🇷. EURO 2020..</t>
  </si>
  <si>
    <t>[["szalai", 0.5773502691896257], ["freekick", 0.5773502691896257], ["kick", 0.3911403617921743], ["free", 0.37062917122859096], ["mbapp", 0.20730790661435994]]</t>
  </si>
  <si>
    <t>*Szalai my bad, and good he was taken off. Wtf does Mbappe know about freekicks mara 🤦🏽‍♂️. Imagine getting subbed on and taking an Mbappe freekick to the dome 20 seconds later. I'd retire. Mbappe taking free kicks for France? Why tf is Pogba not there #HUNFRA.</t>
  </si>
  <si>
    <t>[["sitter", 0.4455164654841288], ["miss", 0.40639757456951553], ["giroud", 0.3003948237604865], ["finish", 0.2658028775436583], ["flick", 0.2658028775436583], ["hell", 0.2658028775436583], ["ff", 0.2658028775436583], ["bad", 0.2658028775436583], ["bumzema", 0.2658028775436583], ["bring", 0.22707014830449931], ["benzema", 0.21009135885374866], ["fuck", 0.1628274873768996]]</t>
  </si>
  <si>
    <t>@vxctorutd 30 and u missed this sitter by Griezmann 😭. Look at that ball from grizzou and the flick by mbappe 😍😍. Giroud would be easily finishing these chances that Benzema is shanking. Grizzy and mbappe combine to create a chance and then there's bumzema.</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</si>
  <si>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</si>
  <si>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[["tho", 0.4472135954999579], ["net", 0.4472135954999579], ["assist", 0.4472135954999579], ["lol", 0.4472135954999579], ["everyth", 0.3554337574548521], ["except", 0.19543488557815256], ["finish", 0.18834024944387154]]</t>
  </si>
  <si>
    <t>Benzema that should be at the back of the net. That second touch from Mbappe was lovely tho. LOOOOOL that’s poor from Benzema, my guy Giroud scores that. What an assist that would have been for Mbappe 😤. Mbappe did everything, except for the finish.</t>
  </si>
  <si>
    <t>[["ff", 0.408248290463863], ["compar", 0.408248290463863], ["control", 0.408248290463863], ["rabiot", 0.408248290463863], ["finish", 0.408248290463863], ["feet", 0.33800477069388807], ["quick", 0.22895292453873312]]</t>
  </si>
  <si>
    <t>Mbappe will finish his career as the goat. Digne is very good but dont compare him to KT. Mbappe and Benzema would've had France 2 up in minutes... Should've finished that. Bring on giroud ffs. These lot struggling to score against hungry. What is rabiot doing in this French team?</t>
  </si>
  <si>
    <t>[["stink", 0.5], ["ff", 0.5], ["aw", 0.5], ["bring", 0.5]]</t>
  </si>
  <si>
    <t>Benzema stinks so far, bring on the go kart guy. Benzema and mbappe doing everything they can to not score, just need 1 goal each ffs. Benzema has been awful! Lacazette would bring more to this France team. Bring on Giroud man, take this fraud off.</t>
  </si>
  <si>
    <t>[["madrid", 0.5], ["rabiot", 0.5], ["stink", 0.5], ["pogba", 0.5]]</t>
  </si>
  <si>
    <t>I'm not sure Rabiot has had up to 5 touches in this game. Rabiot is so so bad. Benzema ball dey stink ffs. Rabiot is out there just running around. Loooool you see it but he’s been stinking. Pogba I love you 😭😭😭. Is Rabiot the one sitting? Benzema for Madrid Vs for France.</t>
  </si>
  <si>
    <t>[["kimpemb", 0.7071067811865475], ["miss", 0.7071067811865475]]</t>
  </si>
  <si>
    <t>Kimpembe evolved... a lot! @anshid4569 France missing giroud EURO 2020 #FRAHUN. Kimpembe to be carded ⚡. @FrenchTeam Benzema is missing many chances today 🤪. Can't believe that farmer kimpembe hasn't been tested this tournament yet. Kimpembe pulled a Harden on that foul.</t>
  </si>
  <si>
    <t>[["llori", 0.34162510049168343], ["hunfra", 0.21748597219004573], ["shit", 0.21748597219004573], ["fuck", 0.21748597219004573], ["fiola", 0.21748597219004573], ["wow", 0.21748597219004573], ["varan", 0.21748597219004573], ["lead", 0.21748597219004573], ["bring", 0.21748597219004573], ["mud", 0.21748597219004573], ["wtf", 0.21748597219004573], ["deschamp", 0.21748597219004573], ["btw", 0.21748597219004573], ["crazi", 0.21748597219004573], ["kimpemb", 0.21748597219004573], ["omg", 0.21748597219004573], ["happen", 0.21748597219004573], ["hungria", 0.21748597219004573], ["woman", 0.16338396151682397], ["near", 0.1513673242160025], ["poor", 0.14354730655264247], ["post", 0.0947499766947013]]</t>
  </si>
  <si>
    <t>Lloris is done out here, beaten at his near post, got down like he was fucking 84 yrs old. Fiola nearly takes this woman out with his celebration 😁. Varane easy target for fans since that city game... whatever happens they put that on varane's head and bounce.</t>
  </si>
  <si>
    <t>[["god", 0.20412414523193148], ["ff", 0.20412414523193148], ["celebr", 0.20412414523193148], ["lmao", 0.20412414523193148], ["lose", 0.20412414523193148], ["honfra", 0.20412414523193148], ["great", 0.20412414523193148], ["frahun", 0.20412414523193148], ["kimpemb", 0.20412414523193148], ["atmospher", 0.20412414523193148], ["fault", 0.20412414523193148], ["lol", 0.20412414523193148], ["expos", 0.20412414523193148], ["conced", 0.20412414523193148], ["beauti", 0.20412414523193148], ["yellow", 0.20412414523193148], ["ramo", 0.20412414523193148], ["attila", 0.20412414523193148], ["kant", 0.20412414523193148], ["deserv", 0.20412414523193148], ["desk", 0.17858610211753576], ["price", 0.17785874112393982], ["woman", 0.1621201329802118], ["chanc", 0.14675190553455078], ["miss", 0.14188215140969965], ["tabl", 0.12403116200836421], ["varan", 0.10016453899696247], ["smash", 0.09886187737005482]]</t>
  </si>
  <si>
    <t>Hungary should attack that Pavard side, he is on a yellow. Good goal #Hun and desk smashing celebration to boot 🤣. France deserve that with the missed chances. Griezmann is at fuck all. Varane is so bad man, how did we not expose him in the first game 😭.</t>
  </si>
  <si>
    <t>[["dey", 0.5345399283044394], ["kant", 0.4007828368637207], ["rabiot", 0.2672699641522197], ["atmospher", 0.2672699641522197], ["shit", 0.2672699641522197], ["halftim", 0.2672699641522197], ["dribbl", 0.23153303556566465], ["miss", 0.2201150459167899], ["ballon", 0.20808241200213257], ["woman", 0.191999059134792], ["desk", 0.18592900534688886], ["dor", 0.1677347416407929], ["chanc", 0.15160013291213922]]</t>
  </si>
  <si>
    <t>This is the kante you people want to give ballon d’or? e ti sick. Why Kante try to dribble every time he got the ball????? France are not taking there chances, benzema missing a sitter. @Mr_kunlecole Benz dey miss chances but dey go still win mbappe and Greiz dey find spaces.</t>
  </si>
  <si>
    <t>[["wast", 0.593500249920548], ["pogba", 0.4646144235549217], ["mbapp", 0.32045093643220135], ["hungri", 0.32045093643220135], ["scene", 0.32045093643220135], ["need", 0.2481933638703183], ["utd", 0.1846392749527279], ["chanc", 0.16772857557320803]]</t>
  </si>
  <si>
    <t>#HUNFRA where is @_OlivierGiroud_ a lot of chances wasted could be goals if it was him. Euro live on France vs Hungry. Hungry complete 1 st goal. Hungry 1- France 0. EURO 2020 sopanali 21 # Digital marketer.. @StillJenz Not when I have pogba and Mbappe in my fantasy.</t>
  </si>
  <si>
    <t>Pavard</t>
  </si>
  <si>
    <t>[["bring", 0.7071067811865476], ["benz", 0.4714045207910317], ["stinker", 0.23570226039551584], ["shit", 0.23570226039551584], ["scene", 0.23570226039551584], ["rabiot", 0.23570226039551584], ["slander", 0.23570226039551584]]</t>
  </si>
  <si>
    <t>@Loux11_ Mbappe and benz should have 2 goals each rn 😂. Benzema Kane back to back stinkers for their countries, international football ain’t for everyone. If it will take Giroud to win the game abeg bring am. @de_mola100 You don't see the need to bring on Giroud in this game?</t>
  </si>
  <si>
    <t>Nikolic for Szalai</t>
  </si>
  <si>
    <t>[["celebr", 0.5621366598380605], ["bell", 0.5238979531208493], ["donni", 0.4763283415418651], ["stinker", 0.28106832991903025], ["smile", 0.27410795840182467], ["boy", 0.11960338987077818], ["tito", 0.1191850310005365]]</t>
  </si>
  <si>
    <t>Hungary have won celebration of the tournament.. EURO 2020.. "Belle, mag smile ka smile lang" -Donny. "Why? I'm smiling naman" -Belle. Belle smiles Meanwhile Donny. at the copying Belle's. camera. smile. DONBELLEx Boy Abunda.</t>
  </si>
  <si>
    <t>Fiola</t>
  </si>
  <si>
    <t>[["bring", 0.8944271909999159], ["pogba", 0.4472135954999579]]</t>
  </si>
  <si>
    <t>It’s @_OlivierGiroud_ time please bring him on #FRAHUN #fra. Bring on Giroud and he will win you the game. Pogba again. What are you doing my guy. How to not bring it home 🙃 #ENG EURO 2020. Get this Benzema don off and bring on the real french no.9…..@_OlivierGiroud_</t>
  </si>
  <si>
    <t>[["celebr", 1.0]]</t>
  </si>
  <si>
    <t>#HUN Goal Celebration 😳😂. The goal celebration though🔥🔥#HUNFRA. I want to be in the middle of this. Celebration!. #HUNFRA. Hungary have won celebration of the tournament.. EURO 2020.. Hungary celebrating the goal #HUNFRA. That goal celebration for Hungary😂#HUNFRA EURO 2020.</t>
  </si>
  <si>
    <t>[["rabiot", 0.8164965809277261], ["pavard", 0.4082482904638631], ["chanc", 0.3209823241508263], ["miss", 0.2522637791071096]]</t>
  </si>
  <si>
    <t>Benzema after missing his first big chance vs Hungary. @Kavinburner No but He'd do much better than Pavard. Rabiot is such a waste of a player. Rabiot needs to come off man. He’s been ass. Get Rabiot as far away from this team as possible. Rabiot is just not doing it for me.</t>
  </si>
  <si>
    <t>Botka</t>
  </si>
  <si>
    <t>[["celebr", 0.5773502691896257], ["kimpemb", 0.5773502691896257], ["bell", 0.4393860349150275], ["donni", 0.3745307005506806]]</t>
  </si>
  <si>
    <t>Hungary have won celebration of the tournament.. EURO 2020.. Kimpembe is just a disgrace of a player. Donny: i told belle, i just got a place recently. Tito Boy: why did you tell belle? Donny: because nagkukwento lang kami. DONBELLEx Boy Abunda.</t>
  </si>
  <si>
    <t>Dembélé for Rabiot</t>
  </si>
  <si>
    <t>[["sub", 0.6824510710034081], ["celebr", 0.3930661970247357], ["dembel", 0.3930661970247357], ["fiola", 0.2841920039207179], ["attila", 0.2715436247659205], ["deschamp", 0.20248714935293918], ["dembooti", 0.17250038928291356]]</t>
  </si>
  <si>
    <t>France need a goal and Deschamps subs on Dembooty 💀. Dembele for rabiot is a good change i was just thinking about. Next sub for France is likely going to be Benzema off for Giroud. Fiola with the best celebration of the tournament 🇭🇺.</t>
  </si>
  <si>
    <t>Griezmann</t>
  </si>
  <si>
    <t>[["ousman", 0.7198683994807399], ["deschamp", 0.38527364793991126], ["shit", 0.38527364793991126], ["lmao", 0.38527364793991126], ["dembel", 0.1910029738989887]]</t>
  </si>
  <si>
    <t>Deschamps wasn't impressed with this miss from Benzema 👀. France needs goals and they bring on Ousmane Dembele???? I know he’s been a bit inconsistent for Barca, but I still really like Ousmane Dembele. Ousmane done more in 2 minutes than Rabiot has done in 4 years.</t>
  </si>
  <si>
    <t>Cseri for Schafer</t>
  </si>
  <si>
    <t>[["varan", 1.0]]</t>
  </si>
  <si>
    <t>@MustiAhmad123 Varane was out of his place. Varane and Kante have no help like what is this. @OnIyWs @AFCMet Ye those 2 are Varane and Sancho. Varane is not even better than zouma. What being linked to United has done to varane🤣🤣🤣🤣🤣🤣🤣. Varane had a poor game so far EURO 2020.</t>
  </si>
  <si>
    <t>Tolisso for Pogba</t>
  </si>
  <si>
    <t>[["bell", 0.5412122731236875], ["donni", 0.4626718793578538], ["stinker", 0.4320804731071096], ["pavard", 0.4320804731071096], ["smile", 0.230026544217936], ["tito", 0.18367261383603234], ["boy", 0.1816290088962364]]</t>
  </si>
  <si>
    <t>"Belle, mag smile ka smile lang" -Donny. "Why? I'm smiling naman" -Belle. Belle smiles Meanwhile Donny. at the copying Belle's. camera. smile. DONBELLEx Boy Abunda. Benjamin Pavard has not had a good game at all... Pavard wants to wrap this stinker with a red card.</t>
  </si>
  <si>
    <t>Giroud for Benzema</t>
  </si>
  <si>
    <t>[["griezmann", 0.32368005406387834], ["sent", 0.20800770531362142], ["hungri", 0.20800770531362142], ["llori", 0.20800770531362142], ["ff", 0.20800770531362142], ["equalis", 0.20800770531362142], ["danc", 0.20800770531362142], ["shit", 0.20800770531362142], ["rout", 0.20800770531362142], ["fast", 0.20800770531362142], ["grizou", 0.20800770531362142], ["bring", 0.20800770531362142], ["griezman", 0.20800770531362142], ["fiola", 0.20800770531362142], ["back", 0.20800770531362142], ["assist", 0.20800770531362142], ["differ", 0.20800770531362142], ["class", 0.20800770531362142], ["though", 0.20800770531362142], ["lol", 0.20800770531362142], ["celebr", 0.17287889751047497], ["bell", 0.15234800519855715], ["donni", 0.14162376489085005]]</t>
  </si>
  <si>
    <t>That ball by lloris and the work by mbappe class. I was about to shit on griezmann but he scored well done. Griezmann how you celebrating like that 😂😂😂😂 it’s a equaliser. Griezmann has had such a shitty game then he scored a tap in and starts dancing lol.</t>
  </si>
  <si>
    <t>Lovrencsics for Kleinheisler</t>
  </si>
  <si>
    <t>[["dey", 0.31622776601683794], ["pace", 0.31622776601683794], ["fuck", 0.31622776601683794], ["hungaryv", 0.31622776601683794], ["beauti", 0.31622776601683794], ["fraud", 0.31622776601683794], ["bounc", 0.31622776601683794], ["equal", 0.31622776601683794], ["ousman", 0.2599780034626065], ["hugo", 0.2578640468208988], ["llori", 0.18304680646531174], ["dembel", 0.18003176862875322]]</t>
  </si>
  <si>
    <t>Benzema no dey play anything but he still dey pitch top tsw. Why is that Hungarian central defender letting that ball bounce off the Lloris punt? Defending 101: get your head on that ball; never let it bounce. Ousmane Dembele, good to see you back in action #hunfra.</t>
  </si>
  <si>
    <t>Lemar for Dembélé</t>
  </si>
  <si>
    <t>[["pogba", 0.8164965809277259], ["dembel", 0.40824829046386296], ["deprem", 0.17635209461917065], ["taehyung", 0.17635209461917065], ["mick", 0.17635209461917065], ["jimin", 0.17630999209691237], ["light", 0.13402668996838135], ["honfra", 0.11628868725683068], ["happi", 0.10389926427048936]]</t>
  </si>
  <si>
    <t>Dembele x Mbappe clinic 🇫🇷. It was pogba’s goal. Let your customers have the best purchase experience with the right sales funnel. Check below link to follow steps:. #deprem. #HONFRA. #おかゆの梅雨ライブ. TAEHYUNG OUR HAPPINESS. Benzema. JIMIN OUR LIGHT. Mick. @fiverr.</t>
  </si>
  <si>
    <t>[["dembel", 0.7071067811865476], ["deschamp", 0.5098135689241429], ["didier", 0.48998992330539637]]</t>
  </si>
  <si>
    <t>I love didier deschamps man EURO 2020. Look at Dembele here. Deschamps to Mbappe at HT. @thatEsselguy Dembele and Mbappe. CAR MOTO. Dembele iswho people thinks mbappe is. They used to say Dembele Mbappe. Griezmann and Dembele showing levels to Mbappe and Benzema✍️. Euro 2020.</t>
  </si>
  <si>
    <t>[["sallai", 0.5773502691896257], ["tolisso", 0.28867513459481287], ["fuck", 0.28867513459481287], ["deschamp", 0.28867513459481287], ["incom", 0.28867513459481287], ["winner", 0.28867513459481287], ["sub", 0.28867513459481287], ["honfra", 0.28867513459481287], ["mon", 0.2455268613107483], ["gar", 0.15182191445317067]]</t>
  </si>
  <si>
    <t>Fuck it Mbappe down there just has to be the move. Giroud and Tolisso in now, big impact from them incoming. Deschamps has always been a Benzema fan on the low. Giroud to come on and score the winner 🕯 🕯. France need a goal and they sub on Tolisso for Pogba 😭😭.</t>
  </si>
  <si>
    <t>[["stinker", 0.7071067811865475], ["donni", 0.3621407538040908], ["bell", 0.31691944636890296], ["boy", 0.2781866471337161], ["tito", 0.2597374763273969], ["donbellex", 0.2064261308420833], ["abunda", 0.2064261308420833], ["lang", 0.195809286567679]]</t>
  </si>
  <si>
    <t>Tito boy: Donny are you into belle? Donny at the back of his mind: "wait lang tito boy iniistress mo ko agad." DONBELLEx Boy Abunda. This is the pogba I know proper stinker 🤣. Ngl this has been a Benzema stinker. @toocheis Benzema stinker tbf. But shouldn’t take pogs off.</t>
  </si>
  <si>
    <t>[["ousman", 0.8461531227424253], ["dembel", 0.5329398585893557]]</t>
  </si>
  <si>
    <t>Ousmane Dembele is fucking horrible. Ousmane dembele turn the ball over every possession challenge. Ousmane Dembele paaa wey he lose all en dribbling so? Ousmane Dembele either plays world class or Sunday league football, nothing in between.</t>
  </si>
  <si>
    <t>[["hook", 0.408248290463863], ["gulacsi", 0.408248290463863], ["tolisso", 0.408248290463863], ["finish", 0.408248290463863], ["miss", 0.359449482162573], ["assist", 0.28359934724984337], ["rob", 0.2508532031916899], ["mbapp", 0.19355292929771115], ["merci", 0.15267857529659534]]</t>
  </si>
  <si>
    <t>@chisenga_cb Deschamps took long. Should have been hooked at HT. @dannydoes Lol seeing Tolisso now I can never forget when u wanted tolisso bakayoko pivot and bin Kante. 😂😂😂. What a good one two from giroud to mbappe, mbappe should have finished that.</t>
  </si>
  <si>
    <t>[["shouldv", 0.7071067811865475], ["touch", 0.7071067811865475]]</t>
  </si>
  <si>
    <t>Mbappe should’ve scored there. Mbappe is a weirdo should’ve squared it to Giroud. Giroud what a touch. Tolisso should’ve started. Mbappe should’ve passed to giroud, but didn’t. Love to see. Fool that ball should’ve been laid for Giroud. Mbappe that's was all some touch lad 😂.</t>
  </si>
  <si>
    <t>[["michel", 0.7083976674562409], ["platini", 0.7058135339751974]]</t>
  </si>
  <si>
    <t>Only Michel Platini (9) has scored more European Championship goals than Antoine Griezmann (7) for #FRA. Two away from tying him. 🇫🇷. Only Cristiano Ronaldo and Michel Platini have scored more European Championship goals than Antoine Griezmann 🥉. #FRA | #ITVFootball | Euro 2020.</t>
  </si>
  <si>
    <t>[["dembel", 0.5322402349443787], ["lemar", 0.35325967179311935], ["deschamp", 0.35325967179311935], ["kart", 0.35325967179311935], ["sub", 0.35325967179311935], ["injur", 0.35325967179311935], ["ousman", 0.3045625612734443]]</t>
  </si>
  <si>
    <t>Lemar is about to come on, if there's any justice... Ousmane Dembele injured himself coming off the bench also. 😭. This guy is really not going to have a good football career, unfortunately. Dembele asking Deschamps why he subbed him on just to take him off.</t>
  </si>
  <si>
    <t>[["stinker", 0.7071067811865476], ["throw", 0.5948754758766664], ["bottl", 0.3822606024697152]]</t>
  </si>
  <si>
    <t>Valverde and Benzema stinker in the same day. All that Benzema gas only for him to drop these stinkers. No one is talking about this Kante stinker. Ballon d'or? 🤣😭😭. France fans, what are they doing throwing bottles 🤮 EURO 2020. Stop throwing sh*t on the pitch lol. #HUNFRA.</t>
  </si>
  <si>
    <t>[["header", 0.5], ["dive", 0.5], ["penalti", 0.5], ["pen", 0.5]]</t>
  </si>
  <si>
    <t>This has a Giroud header all over it. Kante with a classy dive 🔥. Kante diving ??? wow.. they really are desperate 🤷‍♂️🤷‍♂️. If this is a pen INSHALLAH Mbappe takes it. That's got to be a pen.... #FRA EURO 2020. Give the pen to giroud. That has to be a penalty EURO 2020.</t>
  </si>
  <si>
    <t>[["dey", 0.3333333333333333], ["varan", 0.3333333333333333], ["result", 0.3333333333333333], ["fuck", 0.3333333333333333], ["header", 0.3333333333333333], ["champion", 0.3333333333333333], ["celebr", 0.3333333333333333], ["drew", 0.3333333333333333], ["deserv", 0.29248479043552844], ["point", 0.15988670512270906]]</t>
  </si>
  <si>
    <t>Well that result has made me feel it bit better about yesterday’s result. #HUNFRA. Varane is a trash can what in the fuck was that header. Ireland drew with Hungary a few weeks ago. Hungary drew with France today. So Ireland are as good as the World Champions 🤷🏻‍♂️ 🇮🇪 Euro 2020.</t>
  </si>
  <si>
    <t>[["varan", 0.7071067811865475], ["fuck", 0.7071067811865475]]</t>
  </si>
  <si>
    <t>I thought we were fucking bad 😂 #FRA. Was that a Varane mistake👁. What the fuck #HUNFRA. Where the fuck was Pogba for that goal? Lmao, look at varane 😂. Varane you shite. Varane be that ? The same varane United wan buy ? 🤐. Fuck off I have Pavard💀. VARANE WHAT ARE YOU DOING???</t>
  </si>
  <si>
    <t>Plz give that Mbappe assist. MBAPPE ASSISTTTT. Is that an mbappe assist? Mbappe assist? Please. Mbappe assist for fantasy I ain't complaining. Please tell me thats an Mbappe assist 😭. Mbappe better get that assist. @Nimish9 Mbappe assist Grizzi goal 😂.</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</si>
  <si>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</si>
  <si>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[["miss", 0.7071067811865475], ["gulacsi", 0.5114737552199261], ["save", 0.4882566924489894]]</t>
  </si>
  <si>
    <t>Gulacsi mate. What a save. #HUNFRA. Big double save by Gulacsi #HUN. What A-save 🥺🔥 EURO 2020. Griezmann really missed from there. How’s griezmann missing that. How has Griezmann missed that? Easier to score. Griezmann would have missed that. herh! 😂. Griezmann how you miss that!</t>
  </si>
  <si>
    <t>[["mbapp", 0.5451235714367432], ["giroud", 0.5117580194121931], ["close", 0.45037794335874165], ["would", 0.39463809690688945], ["ahahahahah", 0.28699216372057607]]</t>
  </si>
  <si>
    <t>Mbappe has to score. Mbappe come on. Whew Mbappe close.. Mbappe soo close. Mbappe I thought that was going in. Mbappe so close! He ain't no Giroud. Ahh Mbappe so close! Giroud would have scored that. Giroud would have put that away. Giroud would've scored that too ahahahahah.</t>
  </si>
  <si>
    <t>[["benzema", 0.8162043041087952], ["flick", 0.47460531238998294], ["miss", 0.3294849486782123]]</t>
  </si>
  <si>
    <t>That would’ve been lovely! How did Benzema miss that! Class flick by Mbappe. Benzema should score that. Great play by Mbappe. Get this benzema out of my sight. Giroud scores there! Mbappe is elite tho. What a flick on to benzema. How can benzema miss that 😕 EURO 2020 #Benzema.</t>
  </si>
  <si>
    <t>[["varan", 0.447213595499958], ["fiola", 0.447213595499958], ["llori", 0.447213595499958], ["woman", 0.37265055332689295], ["ye", 0.32830548452494274], ["hungari", 0.30367006574709104], ["tabl", 0.24724798301535347]]</t>
  </si>
  <si>
    <t>Pavard, Varane, and Lloris, not great from any of them. Magyars lead! 1-0 Hungary over France. Fiola with a cracker. Fiola scored, and the woman working was just doing her ting on the table, and here comes Fiola and that running and mashing up the table LOOOOOL poor lady man😂😂😂.</t>
  </si>
  <si>
    <t>[["llori", 0.8164965809277261], ["griezman", 0.4082482904638631], ["equalis", 0.4082482904638631]]</t>
  </si>
  <si>
    <t>Griezmannnnnnnnnnnnnnnnn 😍 what a pass from Mbappe. All started with lloris EURO 2020. Griezmann getting an equaliser in a Euros game against an underdog. Lloris' kick is very important in the buildup. Never seen Lloris kick a ball like that in my life😒.</t>
  </si>
  <si>
    <t>[["bell", 0.5227061238010852], ["donni", 0.4988896672173641], ["boy", 0.35196381053969933], ["lang", 0.3057415013143922], ["tito", 0.29679952820407873], ["donbellex", 0.2936333245621356], ["abunda", 0.2936333245621356]]</t>
  </si>
  <si>
    <t>Donny: i told belle, i just got a place recently. Tito Boy: why did you tell belle? Donny: because nagkukwento lang kami. DONBELLEx Boy Abunda. "Biosphere, lithosphere, atmosphere, losing you is my biggest fear" - donny to belle. (try ko lang pi ^_^). DONBELLEx Boy Abunda.</t>
  </si>
  <si>
    <t>[["lemar", 0.7071067811865475], ["ousman", 0.6148836333250104], ["dembel", 0.34916774975509146]]</t>
  </si>
  <si>
    <t>He's only bringing on Lemar now 🤡. Lemar some fraud you know living of that 16-17 Monaco season. Lemar? yeah france tryna lose. France need a goal and they sub on lemar😭😭. Ousmane Dembele…. On, then off. 😂😂😂😂😂. Lemar is about to come on, if there's any justice...</t>
  </si>
  <si>
    <t>[["deserv", 1.0]]</t>
  </si>
  <si>
    <t>Hungary deserved that point, France weren’t at the races today! EURO 2020. Well deserved point for Hungary. The crowd did their job today. What a memorable game this has been. #HUNFRA. Well deserved point #HUN. Deserved point for #HUN.</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</si>
  <si>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</si>
  <si>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[["pavard", 1.0]]</t>
  </si>
  <si>
    <t>Ohhh Pavard 🤦🏾‍♂️🤦🏾‍♂️. Pavard if i speak... Benjamin Pavard. Pavard il guy.</t>
  </si>
  <si>
    <t>[["griezmann", 0.7721065363002978], ["offsid", 0.5243966191029932], ["miss", 0.35897030862692153]]</t>
  </si>
  <si>
    <t>How did Griezmann not score there? He’s lucky he was offside. Offside or not, I happy to see Griezmann do shit🤲🏽. That is some miss from Antoine Griezmann 😬 EURO 2020. 📸 - It was offside, but Griezmann failed to finish this... Even if its off Griezmann should be scoring.</t>
  </si>
  <si>
    <t>[["kant", 1.0]]</t>
  </si>
  <si>
    <t>Kante did well there. Kante is so good. The things id do for a kante goal. Kante G/A today ?? AHHHH KANTE YOU WERE ALMOST THERE. What a run by Kante. [ kante fan account ] But kante is a DM though 😭😭. How can u not love Kante. Kante is so fucking good man. Beautiful from Kante.</t>
  </si>
  <si>
    <t>[["pogba", 0.7071067811865475], ["header", 0.7071067811865475]]</t>
  </si>
  <si>
    <t>Mbappe header miss again... Pogba i love u man. Pogba get up. Mbappe trynna score a header #FRAHUN. .. And Paul Pogba ♥️. Give the FK to Pogba he's scoring. Those two mbappe headers could have gone in if it was cr7 at the end of both...</t>
  </si>
  <si>
    <t>[["benzema", 0.543656753703689], ["miss", 0.38222929229681835], ["wouldv", 0.38222929229681835], ["flick", 0.38222929229681835], ["bring", 0.38222929229681835], ["actual", 0.23078875568791604], ["giroud", 0.21052499527502272], ["better", 0.14985387284262938]]</t>
  </si>
  <si>
    <t>Mbappe that would’ve been a disgusting assist, how does benzema miss that. How has Benzema not scored after a great little flick from mbappe. Bring on Giroud and get this bum out of here. @prime_jordan1 Benzema fans think , that miss was actually a goal. Lol.</t>
  </si>
  <si>
    <t>[["finish", 0.7071067811865475], ["wtf", 0.7071067811865475]]</t>
  </si>
  <si>
    <t>What’s with France and their finishing??? EURO 2020. Pavard wtf was that. Giroud is finishing that. Benzema needs to finish that. Benzema shd have scored that as well wtf what a pass from mbappe though 🤩. Naah man, I'm putting Benzema on fraud watch, wtf was that?! 🧐.</t>
  </si>
  <si>
    <t>[["rabiot", 0.8164965809277261], ["stink", 0.4082482904638631], ["ff", 0.4082482904638631]]</t>
  </si>
  <si>
    <t>Get Rabiot off this team. Benzema is stinking up the pitch. Benzema and mbappe doing everything they can to not score, just need 1 goal each ffs. I forgot rabiot was playing😂. I'm not sure Rabiot has had up to 5 touches in this game. Rabiot is out there just running around.</t>
  </si>
  <si>
    <t>[["bring", 0.5345224838248488], ["wow", 0.2672612419124244], ["shit", 0.2672612419124244], ["lead", 0.2672612419124244], ["fiola", 0.2672612419124244], ["varan", 0.2672612419124244], ["mud", 0.2672612419124244], ["btw", 0.2672612419124244], ["woman", 0.21319745794430425], ["near", 0.2018312805928419], ["hunfra", 0.19649730411633168], ["come", 0.1811556814002401], ["post", 0.12893917716424608], ["llori", 0.11860604619930694], ["poor", 0.11475903738728875], ["tabl", 0.11316262056262623]]</t>
  </si>
  <si>
    <t>If you like don't bring on Giroud.. you will lose this match. It’s like Lloris only got one arm... he’s so bad on his near post. Maybe these words are turning out to be true after all. Fiola has got the host on the lead. That’s nothing new by the way just varane being varane.</t>
  </si>
  <si>
    <t>[["ff", 0.3333333333333333], ["deschamp", 0.3333333333333333], ["lmao", 0.3333333333333333], ["hungri", 0.3333333333333333], ["god", 0.3333333333333333], ["celebr", 0.3333333333333333], ["fault", 0.3333333333333333], ["attila", 0.3333333333333333], ["champion", 0.21168714807321792], ["lead", 0.20161601606471075], ["world", 0.16015818592233416]]</t>
  </si>
  <si>
    <t>Just remembered I have Lloris and Pavard in my fantasy FFS. Deschamps deserves this for not starting a cl winner. Wow, Hungary take the lead against the world champions, just before half time. #HUNFRA. *desperately trying to come up with an Attila Fiola/Attila the Hun pun*</t>
  </si>
  <si>
    <t>[["halftim", 0.5773502691896257], ["celebr", 0.5773502691896257], ["attila", 0.5773502691896257]]</t>
  </si>
  <si>
    <t>Bunzema OUT Giroud IN ffs after halftime. Hungary have won celebration of the tournament.. EURO 2020.. Attila Fiola gives Hungary the lead right before halftime! EURO 2020. Scumbag celebration by Hungarian Attila Fiola at EURO 2020. What a loser..</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</si>
  <si>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</si>
  <si>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[["bring", 1.0]]</t>
  </si>
  <si>
    <t>France needs to bring in Giroud in place of benzema✋️#lesblues #HUNFRA. Bring on Giroud!!! Bring Lord Giroud IN! #HUNFRA Bring on Dembele and Giroud for Mbappe and Benzema. Bring giroud in or we're finished. or there's a griezmann masterclass incoming.</t>
  </si>
  <si>
    <t>[["attila", 0.7715016539796871], ["fiola", 0.6362273162216531]]</t>
  </si>
  <si>
    <t>Attila Fiola is the first player to score against #FRA across all competitions in the last six games. The World Champions are shocked moments before half-time.. The #HUN fans were hyped when Attila Fiola scored their first goal at EURO 2020. ATTILA Fiola? What a first name.</t>
  </si>
  <si>
    <t>Kimpembe does play like a bitch 🤣🤣🤣. What did Kimpembe just do 🤣🤣🤣. Kimpembe love that Guyy😂. Kimpembe monstre 💪🏾. Kimpembe with brutal tackles.</t>
  </si>
  <si>
    <t>[["rabiot", 1.0]]</t>
  </si>
  <si>
    <t>Rabiot, time to come off now. Why is Rabiot still on the pitch? Rabiot is not great at football. Rabiot off, he was very poor. How does Rabiot keep starting for France? @Kayjnr10 Rabiot is not a bad player 😅. @pbtips_ Make he play who ? No be the same Rabiot play against Germany.</t>
  </si>
  <si>
    <t>[["sub", 0.8944271909999159], ["celebr", 0.4472135954999579]]</t>
  </si>
  <si>
    <t>Benzema is getting subbed for Giroud now 😭. @EURO2020 Griezmann and Pogba should be subbed. Sub off Pogba. Forever. What a celebration. Giroud is definitely scoring in this match.... super Sub. Terrible sub by France, should've subbed on Giroud imo. Good sub by deschamps.</t>
  </si>
  <si>
    <t>[["ousman", 1.0]]</t>
  </si>
  <si>
    <t>Ousmane Dembele Eddie Murphy. EURO 2020 #FRA. Ousmane Dembele hits the post moments after coming on for #FRA.. Nah bring me fucking Ousmane Dembele man i love him always have done. Ousmane Dembele fake shot so OP. Ousmane Dembele Left Right #HUNFRA. DEMBELE.</t>
  </si>
  <si>
    <t>Varane (So Far Away). What was that Varane... Varane ain’t looking good. Varane so dumb. Is this the varane United wants? Varane isn’t very good. Varane with 2 left feet 😂😂. Varane has been shocking EURO 2020. What was Varane doing? Varane is a MESS. Varane is having a stinker.</t>
  </si>
  <si>
    <t>[["pavard", 0.4472135954999579], ["bring", 0.4472135954999579], ["ff", 0.4472135954999579], ["llori", 0.4472135954999579], ["equalis", 0.4472135954999579]]</t>
  </si>
  <si>
    <t>Benjamin Pavard has not had a good game at all... Giroud can be Frances lucky Charm. They should bring Him on. Equaliser #fra 1- 1 #hun. @AntoGriezmann with goal.... Game on. What a ball from Lloris to set that up 👏🏾👏🏾👏🏾. Hugo Lloris key pass you love to see it.</t>
  </si>
  <si>
    <t>[["assist", 0.408248290463863], ["griezman", 0.408248290463863], ["equal", 0.408248290463863], ["antoin", 0.408248290463863], ["celebr", 0.3436891694140693], ["llori", 0.29620322766023255], ["great", 0.2809453943212579], ["griezmann", 0.220327986179999]]</t>
  </si>
  <si>
    <t>Griezmann what the fu k was that celebrating man💀💀💀💀. Ah bummer. Griezmann just equalized for France. Mbappé created that as well.. EURO 2020. Brilliant by Lloris and great work from Mbappe and finish from Antoine. Btw griezmannnn didn't scored that. Mbappe goal in my book🤚🤚🤚.</t>
  </si>
  <si>
    <t>[["rout", 0.5], ["equalis", 0.5], ["bring", 0.4133927967266637], ["defend", 0.3674295006021059], ["bounc", 0.339109955747818], ["giroud", 0.28125859207232634]]</t>
  </si>
  <si>
    <t>Why is that Hungarian central defender letting that ball bounce off the Lloris punt? Defending 101: get your head on that ball; never let it bounce. Route 1 football from France but it works. Game on!!! EURO 2020. @BanerjiSougata and it won't! Griezmann just scored the equaliser.</t>
  </si>
  <si>
    <t>[["sallai", 0.7071067811865475], ["tolisso", 0.7071067811865475]]</t>
  </si>
  <si>
    <t>Sallai might be better than szbosjskaklai. Sallai good player. What a dreadful shot from Sallai #HUN. Sallai deserves star of the match he’s been fantastic. Sallai is fucking up. Giroud and Tolisso in now, big impact from them incoming. Letss go Tolisso. Tolisso hm.</t>
  </si>
  <si>
    <t>[["dembel", 0.6751515763606156], ["lemar", 0.44597855758363225], ["deschamp", 0.44597855758363225], ["ousman", 0.3825919514169393]]</t>
  </si>
  <si>
    <t>France called up Lemar?? Why does Deschamps love this man. Wtf dembele out just play in second half and out again😂 #HUNFRA. 57' Ousmane Dembele is subbed on. 87' Ousmane Dembele is subbed off.. Euro 2020 live score: Lemar comes on for Dembele; Hungary 1-1 France.</t>
  </si>
  <si>
    <t>[["varan", 0.4472135954999579], ["deserv", 0.4472135954999579], ["header", 0.4472135954999579], ["drew", 0.4472135954999579], ["champion", 0.38197648535051604], ["world", 0.23258109260915213]]</t>
  </si>
  <si>
    <t>Varane missing a game winning header imagine my shock. A very well deserved point for the hungarians EURO 2020 #HUNFRA. Ireland drew with Hungary a few weeks ago. Hungary drew with France today. So Ireland are as good as the World Champions 🤷🏻‍♂️ 🇮🇪 Euro 2020.</t>
  </si>
  <si>
    <t>[["happen", 0.5701922540972791], ["matchday", 0.48423721293236854], ["kick", 0.47207373301313443], ["budapest", 0.4664134491821601]]</t>
  </si>
  <si>
    <t>EURO 2020 Kick-off in Budapest! Hungary Vs France ⚽. What are your predictions? ⚽️ KICK-OFF! 🇭🇺🆚🇫🇷. ℹ️ Group F, matchday 2. 🤔 What will happen in Budapest? EURO 2020. Kick-off ⚽️ Here. We go. Allez Les Bleus!!! #HUNFRA Fiersdetre Bleus.</t>
  </si>
  <si>
    <t>[["yellow", 0.8135778477126216], ["pavard", 0.5814560049662384]]</t>
  </si>
  <si>
    <t>PAVARD YELLOW ! 🤦‍♂️. EURO 2020 #HUNFRA reference should give 2 yellow cards - Varane and Pavard! PAVARD YELLOW SIUUUU. Pavard’s looking to get a red card. Pavard is gonna get cooked after that yellow on that flank. 📸 - Pavard on a yellow card already, within 10 minutes..</t>
  </si>
  <si>
    <t>[["offsid", 0.890075102199083], ["griezmann", 0.34513314413987584], ["save", 0.29774053345390405]]</t>
  </si>
  <si>
    <t>Griezmann is lucky he’s offside how the fuck did he miss😂😂😂😂😂. Griezmann eh score that wtf lmao even if it offside. Offside but Griezmann has to find the back of the net there. Griezmann’s blushes saved by that offside because that was an absolutely terrible finish.</t>
  </si>
  <si>
    <t>[["kant", 0.632680144500135], ["dign", 0.49864588718996833], ["mbapp", 0.40020487512213837], ["world", 0.32980859920291], ["cross", 0.2329562562142384], ["score", 0.1669186701802758]]</t>
  </si>
  <si>
    <t>Kante what a run! Hand him the ball on d'or asap! Grieman is crazy... so this is what Braça fans face 😂 that pass from Kante. Kante is the best player in the world at the moment. No cap. Digne's crosses are so good. Mbappe should have done better with that.</t>
  </si>
  <si>
    <t>[["mbapp", 1.0]]</t>
  </si>
  <si>
    <t>Mbappe with another free header wa o. Mbappe ffs. Digne and Mbappe link up. 8 yards out free header 200 mill mbappe get fucked. Quase gol do mbappe. We’ve only made one 100m+ signing in 7 years ffs. Wake up Real Madrid C.F. sancho haaland and mbappe are all available.</t>
  </si>
  <si>
    <t>[["mbapp", 0.7500085888527982], ["freekick", 0.44877933127783853], ["free", 0.42832678065585933], ["kick", 0.22939136304106453]]</t>
  </si>
  <si>
    <t>Why is mbappe taking free kicks? 😭. Why did mbappe take it shud have been griezmann. Get pogna on freekicks why is mbappe taking them. That must’ve hurt bro getting a shot from mbappe to the face😭😭😭. Can these Hungary players stop getting shot in the head I wanna watch Mbappe.</t>
  </si>
  <si>
    <t>[["benzema", 0.8411141180848294], ["giroud", 0.3191332505095261], ["mbapp", 0.1915190840178606], ["player", 0.18972281153380469], ["striker", 0.18877371805370324], ["ff", 0.18509682506028932], ["piss", 0.16277749197041408], ["class", 0.1470164645571202]]</t>
  </si>
  <si>
    <t>Smh look at this pipe of a striker called benzema. Benzema isn’t even half the player giroud is for France. Benzema and mbappe doing everything they can to not score, just need 1 goal each ffs. Benzema is just running and playing passes into the Hungary players man😂😂😂.</t>
  </si>
  <si>
    <t>[["target", 0.5987560600157869], ["mbapp", 0.4699375314923442], ["harri", 0.44564695446122715], ["shot", 0.3574543728915875], ["hasnt", 0.19145967348714302], ["reason", 0.17246639044886203], ["benzema", 0.16695387974858591]]</t>
  </si>
  <si>
    <t>Mbappe hasn’t downloaded free kick juice yet. He’s getting excited🤣. Master class final pass from Mbappe, very poor delivery from Benzema.. EURO 2020. Benzema shot wide, how did he miss that? 🇫🇷. Mbappe is the best footballer in the world man.</t>
  </si>
  <si>
    <t>[["peep", 0.6661294607901976], ["creativ", 0.5533285358083833], ["bring", 0.24330418160149686], ["win", 0.2060037848174704], ["giroud", 0.20453972158797135], ["poor", 0.20050362158697177], ["pitch", 0.18695646145285155], ["touch", 0.17740820253828854]]</t>
  </si>
  <si>
    <t>Mbappe is winning atleast 5 ballon d'Ors. France are winning rn if Giroud is on the pitch. Bring Lemar or Tolisso on for Rabiot, he's not a footballer. 📸 - Another good chance for France to score but Benzema with a poor pass.. Peep the touch and creativity from Mbappe, class..</t>
  </si>
  <si>
    <t>Pogba is balling again. Get Pogba into this game.... Griezmann and Rabiot holding the ball too long. Pogba doesn't know when to pass. Nothing concern Kante for this game, just stand behind Pogba and Greizman, collect loose ball, give them back and rest. Kante Nwa Jesus.</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</si>
  <si>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</si>
  <si>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[["major", 0.5526948892679924], ["futur", 0.5080762243037846], ["move", 0.484492336119505], ["soccer", 0.4490591118279603]]</t>
  </si>
  <si>
    <t>Griezmann wants an Major League Soccer move in the future 👀.</t>
  </si>
  <si>
    <t>[["unseri", 0.429694994237696], ["champion", 0.42070171542247975], ["job", 0.4023812784438825], ["win", 0.39912110095089703], ["lead", 0.3407216401953296], ["gol", 0.1703608200976648], ["varan", 0.1703608200976648], ["fiola", 0.1496388581944548], ["near", 0.13717789108544806], ["sleep", 0.13717789108544806], ["world", 0.13655990937509166], ["touch", 0.13010338445351624], ["stuff", 0.12966878055451247], ["didier", 0.12735851692089145], ["ff", 0.11995856989205893]]</t>
  </si>
  <si>
    <t>Oh my word !! #Hun has taken the lead !! Fiola has turned the script upside down. What a story this would be if the Hungarians win this! Lloris gets beat at his near post, Pavard ball watching, Varane sleeping at his job. Very unserious stuff all around.</t>
  </si>
  <si>
    <t>[["llori", 0.6229127317124536], ["behind", 0.5474673977265844], ["drill", 0.4998073045460706], ["near", 0.2499036522730353]]</t>
  </si>
  <si>
    <t>Hows Lloris been beaten at his near post like that. Lloris is not a very good keeper is he #HUNFRA. Also, Lloris is a very very average goalkeeper. That’s not on Lloris. Defenders left him one on one. The World Champions are behind! This is not a drill. 😬. EURO 2020 #HUN.</t>
  </si>
  <si>
    <t>[["dribbl", 0.7798638949546419], ["giroud", 0.6259491236084409]]</t>
  </si>
  <si>
    <t>Lol kante dribbling 😂🤦🏾‍♂️. Giroud is Frances best player 👍. Kante Trying To Dribble His Way Outta Pressure. Dude If You Don’t Go Tackle. Kante not having a good game. Forcing dribbles and it is not quite working for him. Kante trying to dribble 😭. Giroud would’ve saved that goal.</t>
  </si>
  <si>
    <t>[["bu", 0.721657084965308], ["spoil", 0.6922507144953872]]</t>
  </si>
  <si>
    <t>Hungary now change their tactics and put three defender at the back 😂😂 it seems like they trying to park bus there #HUN EURO 2020. “Pogba and Kante is the best midfield pivot” 😹. Today wey them no dey park the bus them don place spoil 😭.</t>
  </si>
  <si>
    <t>[["scene", 0.8196807807302021], ["itw", 0.3855171437368369], ["sei", 0.21534322806307366], ["kwasia", 0.21534322806307366], ["champion", 0.17675448792617024], ["giroud", 0.17552572998535576], ["2018", 0.15717222067634268]]</t>
  </si>
  <si>
    <t>Chelsea fans are saying Giroud over Benzema forgetting Giroud played 2018 World Cup and got 0 shots on target. Kwasia player sei. 🇭🇺 When you score against the world champions... 🥳 Scenes in Budapest!. EURO 2020. Same people who mock Maguire rate Varane as the best ITW 😭.</t>
  </si>
  <si>
    <t>[["fiola", 0.7403234681528592], ["crazi", 0.41534206856124845], ["benzema", 0.3810370612445822], ["hungri", 0.3663644176820099]]</t>
  </si>
  <si>
    <t>Benjamin Pavard- Crazy Football Defensive skills Tackled. Benzema now goKarting.. with Benzema leading the line france won't pass Quater finals. When the English say “Football’s coming home”…. #Fiola #HUNFRA. Hungary are hungry to win this #HUNFRA.</t>
  </si>
  <si>
    <t>[["champ", 0.6243280193559876], ["mood", 0.5709433544249672], ["lead", 0.5331399537504162]]</t>
  </si>
  <si>
    <t>Hungary lead at half-time. 🇭🇺1-0 🇫🇷 #HUNFRA Fiersdetre Bleus. #HUN strike first and lead #FRA 1-0 at halftime💥. (🎥: TUDN USA). A shocker in the making? #HUN leads #FRA!. (via ESPN FC). #HUN mood after taking the lead against the World Champs 😤.</t>
  </si>
  <si>
    <t>[["pogba", 0.8660340688173926], ["player", 0.49998499142233405]]</t>
  </si>
  <si>
    <t>BEST PLAYER IN FRANCE HISTORY POGBA. Pogba is some player. Look at Pogba man, una go dey slander this special player smh. Pogba for France is a different player ❄️ ❄️. Pogba is such a lovely player for France yc. Paul pogba is actually the worst player on the pitch holy shit.</t>
  </si>
  <si>
    <t>[["duck", 0.8100118654370518], ["unbeaten", 0.4731195671136654], ["hungari", 0.34646594791604723]]</t>
  </si>
  <si>
    <t>Hungary will win this. #HUN. I just turned the football on for the second half. Buzzing for Hungary!!! EURO 2020. 🇭🇺 Hungary are unbeaten against France at EURO finals (W3 D1) 💪. EURO 2020. Antoine Griezmann taking a photo of a duck #FRA.</t>
  </si>
  <si>
    <t>[["stood", 0.8185971419459963], ["rabiot", 0.4267331114000397], ["pass", 0.3844444964265817]]</t>
  </si>
  <si>
    <t>Rabiot out France win. Finally, Rabiot off!. Phew! 😒. 🇭🇺🆚🇫🇷 Which players have stood out?. EURO 2020. Benzema with his 200th misplaced pass of the tournament. Benjamin Pavard’s name just invites a pass at a French accent, delightful. Just pass the ball Sterling EURO 2020..</t>
  </si>
  <si>
    <t>[["defend", 1.0]]</t>
  </si>
  <si>
    <t>I hope Chelsea FC is watching how terrible Varane is as a defender. Don't wanna see him anywhere close to our great club. EURO 2020. Love how #HUN defend!!! Varane, Kimpembe and Pavard are useless and overrated defenders ☺.</t>
  </si>
  <si>
    <t>[["greizmann", 0.4810524736288966], ["chaotic", 0.393111708362672], ["let", 0.37354976180970906], ["fulli", 0.3550891304268315], ["sexi", 0.3550891304268315], ["invert", 0.29916787948845996], ["varan", 0.2544889761155872], ["dembel", 0.1474641129643653], ["knee", 0.14492542325059726], ["giroud", 0.11971375976014666], ["ass", 0.10482943501908575]]</t>
  </si>
  <si>
    <t>Dembele given the ball⚽️ away on two occasions since coming on EURO 2020. Varane’s inverted knees is kicking his ass. Very few ppl make it to pro football with inverted knees. Take Greizmann off for Giroud, let’s see big sexy and Benzema together, let’s get fully chaotic.</t>
  </si>
  <si>
    <t>[["assist", 0.5655382790348742], ["gol", 0.4734735947056962], ["llori", 0.3655420927149859], ["mbapp", 0.29409721996004917], ["final", 0.27147514924481314], ["dribbl", 0.18277104637897987], ["bring", 0.1732307985169932], ["red", 0.1681166010642404], ["yellow", 0.1597788489650547], ["equalis", 0.15083389388366328], ["pavard", 0.14905957348376872]]</t>
  </si>
  <si>
    <t>Pavard might see red this game he needs to come off. That ball by lloris and the work by mbappe class. Griezmann how you celebrating like that 😂😂😂😂 it’s a equaliser. That better count as an Mbappe assist coz there was a deflection.</t>
  </si>
  <si>
    <t>[["griezmann", 0.7426761823593213], ["quintupl", 0.5545379604599266], ["newcastl", 0.28792749067539347], ["mbapp", 0.2408682184899043]]</t>
  </si>
  <si>
    <t>Griezmann getting an equaliser in a Euros game against an underdog. Superb distribution from lloris. Griezmann with a good finish after a good assist from Mbappe who has been Frances best player today. They should take that goal off griezmann just because of that celebration ffs.</t>
  </si>
  <si>
    <t>[["might", 0.6217001311606332], ["realli", 0.5597444958276634], ["debat", 0.5478823288859448]]</t>
  </si>
  <si>
    <t>Mbappe really doing well. France might win this game. Antoine Griezmann is the best International player of the last 5 years and it's not up for debate..</t>
  </si>
  <si>
    <t>[["touch", 0.7954996623166262], ["antoin", 0.60595403064435]]</t>
  </si>
  <si>
    <t>Nah i’m crying when that guy tried to touch pogba 🤣. POGBA: Don’t touch me 😂. Peep the touch and creativity from Mbappe, class.. Benzema every time he touches the ball. 🇫🇷 Antoine Griezmann has now scored 38 goals for France in 93 games ⚽️. EURO 2020.</t>
  </si>
  <si>
    <t>[["pogba", 0.787462413699292], ["giroud", 0.4982707527713495], ["sallai", 0.3628073923496567]]</t>
  </si>
  <si>
    <t>Every time pogba wins the ball, he loses it lol. Is this the same Paul Pogba that plays for Manchester United in the premier league? 😳🙄. Roland Sallai is the most fouled player in the match (6 times). #HUN. Giroud finally coming on about 75 minutes to late EURO 2020.</t>
  </si>
  <si>
    <t>[["giroud", 0.6996881229221338], ["sub", 0.612878681368683], ["wake", 0.36717332768800826]]</t>
  </si>
  <si>
    <t>France need a goal then they bring in giroud 🤣🤣. Pogba subbed off. That's been coming – very disappointing today. Giroud to score the winning assist or goal, let's go! The beef between giroud and mbappe means they won’t pass to each other but only pass to Griezemann.</t>
  </si>
  <si>
    <t>[["giroud", 1.0]]</t>
  </si>
  <si>
    <t>On my knees for a Giroud goal 🤞. How are you bringing on Giroud but taking off Pogba ?¿ 😞. Chelsea fans are saying Giroud over Benzema forgetting Giroud played 2018 World Cup and got 0 shots on target. Kwasia player sei.</t>
  </si>
  <si>
    <t>[["mbapp", 0.7237306452695424], ["save", 0.6462482166856215], ["gulacsi", 0.24202726195283314]]</t>
  </si>
  <si>
    <t>Hmmm good save from Mbappe but not sure why Giroud isn't trying to get a tap in there? Gulacsi and Pickford have been my goalkeepers of the tournament so far. Raw finish from Mbappe, has to find the corner there. Love to know how many shots Mbappe has had in these two games.</t>
  </si>
  <si>
    <t>[["keeper", 0.7121926631355344], ["might", 0.7019840529356169]]</t>
  </si>
  <si>
    <t>Mbappe just might be a good footballer. The hungary keeper looks like gay evil peter cech. #HUNFRA. Gulacsi is a decent keeper tbf. Hungary's keeper putting in a solid shift #hun. Mbappe has to score there... not shoot straight at the keeper.</t>
  </si>
  <si>
    <t>[["lemar", 0.9104219242147844], ["dembel", 0.41368093974589837]]</t>
  </si>
  <si>
    <t>Man said lemar when you need a goal 💀. France need a goal and they sub on lemar😭😭. It took 86mins for brainless Deschamps to realise Lemar needs to come in 🤦‍♂️. France need a goal and they bring on Dembele and Lemar😭😭. Deschamps is crazy for subbing off Dembele for fucking Lemar.</t>
  </si>
  <si>
    <t>[["form", 0.5560886148471554], ["werey", 0.43635278664891197], ["nah", 0.43635278664891197], ["wan", 0.23462841186337516], ["kant", 0.23362701510056783], ["sub", 0.2187443072147965], ["ask", 0.218244572257323], ["deschamp", 0.19583769613083152], ["dembel", 0.18371296122830777], ["return", 0.1809509578828782]]</t>
  </si>
  <si>
    <t>Ousmane "Dembouz" Dembele VS Hongria | Young french player | Double foot | HD.. Kante’s been smiling so well how are they not winning. Dembele asking Deschamps why he subbed him on just to take him off. Mbappe nah werey. Giroud give you ball, return am, you wan form match winner..</t>
  </si>
  <si>
    <t>[["wait", 0.5211175180254971], ["penalti", 0.51881293636755], ["kimpemb", 0.5114360970203896], ["pen", 0.4446378168005695]]</t>
  </si>
  <si>
    <t>Looks a foul on kimpembe , should be a Pen for #FRA. Penalty to France no? Kimpembe rugby tackled 😂. "Don't pass it to Benzema.." Oh wait that's me.. They want to give #fra a penalty 🤣🤣🤣. That's a penalty for the attempted undressing of Kimpembe.</t>
  </si>
  <si>
    <t>[["world", 0.6793346560442214], ["point", 0.38174958148783955], ["level", 0.28636684942866264], ["deschamp", 0.2704801445004661], ["champion", 0.26797508030848766], ["bare", 0.2565985256669809], ["finish", 0.13933538288243283], ["final", 0.1392381564735521], ["hun", 0.1377597269613239], ["cup", 0.12002279295539389], ["touch", 0.1185808350689565], ["cross", 0.117074819160947]]</t>
  </si>
  <si>
    <t>That was a fabulous match. Fair play to Hungary for holding the world champions to a point! euro 2020. Varane always gets in the end of crosses and set pieces and barely scores. Next time start Giroud if you want to win, as we saw in the World Cup.</t>
  </si>
  <si>
    <t>[["fiola", 0.5295128750813524], ["equalis", 0.5093543133330184], ["strike", 0.4662736851583445], ["net", 0.41853063348652414], ["hungri", 0.25999088055998293]]</t>
  </si>
  <si>
    <t>And Hungry were hungry enough to take the draw. This french team can't covert but good job to the Hungarians. #HUNFRA. Euro 2021. ⏰ RESULT ⏰. 🇭🇺 Fiola strikes just before break. 🇫🇷 Griezmann nets second-half equaliser. 🤔 Who impressed you?. EURO 2020.</t>
  </si>
  <si>
    <t>⚽️ KICK-OFF! 🇭🇺🆚🇫🇷. ℹ️ Group F, matchday 2. 🤔 What will happen in Budapest? EURO 2020. Kick-off ⚽️ Here. We go. Allez Les Bleus!!! #HUNFRA Fiersdetre Bleus.</t>
  </si>
  <si>
    <t>[["save", 0.5194678386837955], ["gulacsi", 0.5194678386837955], ["offsid", 0.5194678386837955], ["griezmann", 0.43641665151499265]]</t>
  </si>
  <si>
    <t>OMG those saves… #HUN. Gulacsi wow those saves!! Offside but Griezmann is on his Barcelona form there lol. You have to bury that. How has Griezmann not scored that 😭😭. What a save gulacsi but whats griezmann doing. 📸 - It was offside, but Griezmann failed to finish this...</t>
  </si>
  <si>
    <t>[["gape", 0.4309182475631239], ["second", 0.4309182475631239], ["cross", 0.4309182475631239], ["kant", 0.42026057013923485], ["would", 0.38284322716598224], ["wouldv", 0.3460354148794023]]</t>
  </si>
  <si>
    <t>#Griezmann should have buried the rebound from the keeper's parry regardless of whether it would have been disallowed for #offside. GRIEZMANN YOU HAVE THE GOAL GAPING 😱. Kante's running from second line 🔥. Giroud would’ve scored that. Get him on. What a cross by digne!</t>
  </si>
  <si>
    <t>[["mbapp", 0.49925092219270606], ["special", 0.26162464110806005], ["know", 0.26162464110806005], ["great", 0.26162464110806005], ["giroud", 0.2594261114369152], ["whatt", 0.25388745844225596], ["score", 0.2511980659571858], ["nice", 0.23665408100663957], ["griezmann", 0.22721745830460144], ["esc", 0.22640088131610406], ["fuck", 0.22576043621461545], ["fifa", 0.22192307149874788], ["dey", 0.21562595841552754], ["street", 0.21199640646179646]]</t>
  </si>
  <si>
    <t>Giroud scores that. Pogba out here making FIFA street passes 😂. Mbappe dey play ball whatt. Mbappe is a special player #france. What a nice pass and benzema misses it 😂😂. That pass from Mbappe 😵. Great ball from griezmann. Foden-esc touch and lay off from Mbappe.</t>
  </si>
  <si>
    <t>[["hasnt", 0.48021256114448324], ["footbal", 0.48021256114448324], ["ff", 0.4384474316734274], ["shackl", 0.4380001614476426], ["reason", 0.39333382827939695]]</t>
  </si>
  <si>
    <t>Free Griezmann from the shackles of Messi. The reason why Harry Kane hasn’t even had a shot on target in EURO 2020. I wish all conflicts were solved with #Football. EURO 2020. Why tf didn't we get Mbappe ffs. Mbappe is the best footballer in the world man.</t>
  </si>
  <si>
    <t>[["btw", 0.42560866009616843], ["thirsti", 0.42560866009616843], ["use", 0.42560866009616843], ["tbh", 0.41836241961871723], ["omg", 0.39544709433655156], ["god", 0.3537884774621459]]</t>
  </si>
  <si>
    <t>Giroud is scoring that btw. Omg what a goal that could have been #HUNFRA. What a pass by mbappe my god. Giroud would've scored that tbh. Benzema is not used to get those passes, it's ok. Mbappe is thirsty for that goal and it seems.</t>
  </si>
  <si>
    <t>[["want", 0.6121071351842449], ["weakest", 0.5795978174451949], ["benzema", 0.5379509504307087]]</t>
  </si>
  <si>
    <t>Benzema is the weakest link. I want Mbappe to score. I want Benzema to score, plich! #FRAHUN EURO 2020. There’s gonna be a lot of deleted tweets when Benzema scores 👍. Mbappe is doing everything possible to give Benzema a goal on his return. Benzema should be scoring that.</t>
  </si>
  <si>
    <t>[["mother", 0.5575606596942181], ["that", 0.5127844038873255], ["benzema", 0.4702854316827556], ["dont", 0.4527801659064063]]</t>
  </si>
  <si>
    <t>"Dont pass to Benzema on my mother's life he is playing against us". Get kante off the ball man that’s not his game 😂. #fra fouls every single time they lose the ball, so they don’t have to run back. #Pathetic.</t>
  </si>
  <si>
    <t>[["goal", 0.500793242727094], ["lead", 0.3850936149005563], ["terrorist", 0.37364530815983277], ["champion", 0.3511172269798513], ["world", 0.3289990305967852], ["score", 0.19254680745027816], ["limb", 0.19254680745027816], ["hunfra", 0.1838572480676189], ["noth", 0.18340495281687863], ["half", 0.1783872282055368], ["pin", 0.1712243847562825], ["win", 0.16445469482758035]]</t>
  </si>
  <si>
    <t>Where the fuck was Pogba for that goal? France are not favorites to win these Euros Deschamps is a terrorists. Wow, Hungary take the lead against the world champions, just before half time. #HUNFRA. France are winning nothing with Benzema😂😂. #HUNFRA.</t>
  </si>
  <si>
    <t>[["drill", 0.5521132940287726], ["fiola", 0.5022232126406764], ["champion", 0.2760566470143863], ["defend", 0.2760566470143863], ["ff", 0.2760566470143863], ["world", 0.2396025255417805], ["benzema", 0.2370655291869051], ["llori", 0.22741372618888522], ["deserv", 0.22134701246079516]]</t>
  </si>
  <si>
    <t>Also, Lloris is a very very average goalkeeper. #HUNFRA. Hungary 1-0 France | GOAL! Fiola 🔥🎥. For more goals 👇🏼. 𝖥𝖠𝖲𝖳 𝖦𝖮𝖠𝖫𝖲.. Varane is a fraud of a defender. The World Champions are behind! This is not a drill. 😬. EURO 2020 #HUN.</t>
  </si>
  <si>
    <t>[["giroud", 0.6910550003318922], ["sub", 0.47807017867237855], ["disturb", 0.26385268896122216], ["advantag", 0.25603810140763716], ["sandwich", 0.251581595506931], ["benzema", 0.22132318452834004], ["fav", 0.21550148196329152]]</t>
  </si>
  <si>
    <t>France play better with Giroud! Benzema disturbed the balance. Take nothing away from Hungary though EURO 2020 #SSFootball. Sub rabiot RN 😤. Benzema had a wonderful season with Madrid, But Giroud needs to start for France ! Giroud bring the players around him into the game..</t>
  </si>
  <si>
    <t>[["explos", 0.438220742857927], ["unlik", 0.438220742857927], ["half", 0.42721848843579724], ["bring", 0.3852561543479018], ["wow", 0.3789050917921834], ["benzema", 0.37605604788082925]]</t>
  </si>
  <si>
    <t>Football is unlike anything else in the world. WOW EURO 2020. Guaranteed France win if they bring on Giroud. Corner header and poached goal in 2nd half from the sexy beast, if they bring him on #HUNFRA. This is why Benzema should have scored man.</t>
  </si>
  <si>
    <t>[["kno", 0.47543340165886516], ["he", 0.23771670082943258], ["scene", 0.23771670082943258], ["nice", 0.23355434805967196], ["relax", 0.22735365078947653], ["need", 0.22495706015113795], ["hold", 0.22028214742401622], ["giroud", 0.21495439229528154], ["win", 0.2136817267944258], ["half", 0.20837861132300714], ["lose", 0.2047859348835001], ["imo", 0.2035721672433125], ["extermin", 0.2034476946039296], ["regularli", 0.2031478177087662], ["chanc", 0.20025824130783773], ["champ", 0.19540588567566758], ["madli", 0.19489068042140606], ["alot", 0.19489068042140606]]</t>
  </si>
  <si>
    <t>Giroud is france best striker, kno need for the calling of benzema. France needed to concede the goal so they can wake up. They ve been too relaxed IMO. EURO 2020 #HUNFRA. Crowds contribute alot to matches.... It's always nice seeing people madly celebrating a goal😂. #FRAHUN.</t>
  </si>
  <si>
    <t>[["scene", 0.7809971498978415], ["crowd", 0.39049857494892076], ["punditri", 0.37052452255959073], ["world", 0.31664790066617826]]</t>
  </si>
  <si>
    <t>The Hungary crowd are the best. #HUNFRA. Hungary win the first half.. Pundits: Talk about France. I fucking hate punditry with a passion.. #HUNFRA. 🇭🇺 When you score against the world champions... 🥳 Scenes in Budapest!. EURO 2020.</t>
  </si>
  <si>
    <t>[["mean", 0.732380790409476], ["come", 0.6808952767050094]]</t>
  </si>
  <si>
    <t>Giroud a come in come score. What that goal means for Hungary😂😂 #HUNFRA.</t>
  </si>
  <si>
    <t>[["dare", 0.5732080466259188], ["comeback", 0.3120864254772459], ["mystrik", 0.3120864254772459], ["maman", 0.3120864254772459], ["decent", 0.2901592282033919], ["classi", 0.2885703076469218], ["actual", 0.27363411489561323], ["fiola", 0.26772152090169665], ["who", 0.2553881019667006]]</t>
  </si>
  <si>
    <t>What a goal from #hun 👏🏻 I would even dare to say it was classy! Take them down boys 💪🏻 EURO 2020. France actually had decent chances to take the lead before the Hungary goal EURO 2020. France will comeback and Benzema will score 💪🏻💪🏻 #mystriker.</t>
  </si>
  <si>
    <t>[["entertain", 0.6492273593827148], ["nzonzi", 0.5378214554240781], ["straightforward", 0.5378214554240781]]</t>
  </si>
  <si>
    <t>Nzonzi or Tolisso on for Kante and it should be a straightforward win. Mbappé is by far 1 of the most entertaining footballers to watch EURO 2020.</t>
  </si>
  <si>
    <t>[["champ", 0.5289956966318894], ["mood", 0.483729031398912], ["lead", 0.4459217891956278], ["lmao", 0.2644978483159447], ["mbapp", 0.2644978483159447], ["would", 0.2381400862248066], ["benzema", 0.2130002045276479], ["way", 0.21289791855223783]]</t>
  </si>
  <si>
    <t>The coach for sub Benzema. The guy no dey see top. Nice goal by Hungary though 👏🏽. There's no way Mbappe's scoring today. Lmao Benzema hasn't score at the Euros before 💀. Giroud would have easily finished mbappe assists. #HUN mood after taking the lead against the World Champs 😤.</t>
  </si>
  <si>
    <t>[["pl", 0.7071067811865475], ["lezzgoo", 0.7071067811865475]]</t>
  </si>
  <si>
    <t>Mbappe goal for my soul pls. Mbappe goal and assist to benzema pls. SECOND HALF LEZZGOO. #FRA #HUN.</t>
  </si>
  <si>
    <t>[["princ", 0.6163545596550233], ["still", 0.3157045819316792], ["argentina", 0.3157045819316792], ["attila", 0.31562540517513205], ["fiola", 0.31562540517513205], ["probabl", 0.2810983503242896], ["hype", 0.2681270806871089], ["goal", 0.26574627739704754]]</t>
  </si>
  <si>
    <t>France will still win and varane will probably score. #HUNFRA EURO 2020 why is Prince William in goals for Hungary, he must not like the French!? Pavard still living off that goal vs Argentina. The #HUN fans were hyped when Attila Fiola scored their first goal at EURO 2020.</t>
  </si>
  <si>
    <t>[["chump", 1.0]]</t>
  </si>
  <si>
    <t>TAKE BENZEMA OFF YOU FUCKING CHUMP.</t>
  </si>
  <si>
    <t>[["unbeaten", 0.6184868112986919], ["giroud", 0.5765313446603642], ["guna", 0.5339341465702384]]</t>
  </si>
  <si>
    <t>🇭🇺 Hungary are unbeaten against France at EURO finals (W3 D1) 💪. EURO 2020. Giroud guna come on and win it. Benzema is no doubt a better Player but this is football and results matter the most. Giroud would certainly give France the results 👍🏽.</t>
  </si>
  <si>
    <t>[["ff", 0.4234907879819258], ["class", 0.4234907879819258], ["anoth", 0.4234907879819258], ["sub", 0.4234907879819258], ["lemar", 0.3923172816496361], ["giroud", 0.35876086812364355]]</t>
  </si>
  <si>
    <t>Take Rabiot out of this game ffs. This is just another one of those days where Giroud comes on and wins the game for France. Benzema is getting subbed for Giroud now 😭. Sub off Pogba. Forever. Take Rabiot and Benzema off for Lemar and Giroud. Griezmann is not a world class player.</t>
  </si>
  <si>
    <t>Griezmann is not a world class player. Hungary got one black player and he's called Nego.... The only French player in the 1st 11 I never want to see him start is Rabiot, twea! Corentin Tolisso over him any day!</t>
  </si>
  <si>
    <t>[["dembel", 0.8507586883602252], ["kimpemb", 0.38372184039418133], ["toliso", 0.3591200403543248]]</t>
  </si>
  <si>
    <t>DD needs to sub Rabiot and play Toliso. Dembele is better than Mbappe. He only needs to stay fit. I am seeing a proper Ousmane Dembélé master-class for France this second half!. #FRA. #HUNFRA. Kimpembe ball watching again.</t>
  </si>
  <si>
    <t>[["take", 0.47949979220628924], ["cross", 0.28603991104409765], ["stinker", 0.28603991104409765], ["sub", 0.28603991104409765], ["yellow", 0.28603991104409765], ["griez", 0.28603991104409765], ["sent", 0.28603991104409765], ["shit", 0.27784186839926134], ["partnership", 0.2771959919652556], ["proce", 0.2610142333879568], ["calm", 0.2387568076205077]]</t>
  </si>
  <si>
    <t>Griezmann has been shit with crosses. Take out Benzema or Griez and put in Giroud. This 2nd half stinker from Mbappe💀. How can man so calm just take the ball like that away from Mbappe. Take Pavard off before he gets sent off. I want the pavard second yellow for max chaos.</t>
  </si>
  <si>
    <t>[["griezmann", 0.6894147379166892], ["equalis", 0.40290698350437987], ["final", 0.3047419547538161], ["score", 0.2916057497670638], ["assist", 0.15237152596818454], ["llori", 0.15237152596818454], ["grizzi", 0.15237152596818454], ["defend", 0.15237152596818454], ["mbapp", 0.15237151694343326], ["mother", 0.14190000531661556], ["insan", 0.12940874087956897], ["glori", 0.12605875119537835], ["abus", 0.12495303175718153]]</t>
  </si>
  <si>
    <t>Please tell me thats an Mbappe assist 😭. Griezmann hit that ball like it abused his mother. We finally score :) but it's griezmann :/ Griezmann is top quality.. damn.. He'd come to Barcelona and he'd start defending with alba now. Griezmann celebrating the equaliser vs Hungary 😂.</t>
  </si>
  <si>
    <t>[["kick", 0.3437215029526978], ["free", 0.31838907861797144], ["chuck", 0.3050701816362657], ["trash", 0.1718607514763489], ["shake", 0.1718607514763489], ["wias", 0.1718607514763489], ["fuccin", 0.1718607514763489], ["barca", 0.1718607514763489], ["seal", 0.1718607514763489], ["school", 0.16488996450124677], ["clearanc", 0.16423996593089937], ["ars", 0.15891082045661428], ["cross", 0.15778835554546325], ["save", 0.1544106425158287], ["bring", 0.15400634741570934], ["great", 0.1527122801000015], ["troubl", 0.1508557531795129], ["bounc", 0.14944669863912494], ["lead", 0.14941474682297676], ["remov", 0.14854529774713326], ["done", 0.14828291507707253], ["smh", 0.14768585782207996], ["okay", 0.14692017223372583], ["sun", 0.14654699906689198], ["parent", 0.1464876776739279], ["clear", 0.14345578863488673], ["american", 0.1422424743486975], ["isnt", 0.13979328144427208], ["griezmann", 0.1390506059143852], ["role", 0.1387199543493683], ["tho", 0.1383856654034093], ["love", 0.13827349842831088]]</t>
  </si>
  <si>
    <t>Mbappe is such a talent! But how do you have 10 players all going out to attack a free kick! Remove Benzema and bring on Giroud and seal off the winning. Griezmann to the fuccin wiase. Barca players saving their countries as usual 🙌. I searched griezmann but finally i found💥.</t>
  </si>
  <si>
    <t>[["quintupl", 0.40478109353687974], ["newcastl", 0.374280311977591], ["soccer", 0.3616205445135055], ["griez", 0.21705288079520713], ["dembel", 0.21705288079520713], ["antoni", 0.21705288079520713], ["could", 0.2115975605618688], ["whatta", 0.20297583891561918], ["coulda", 0.20297583891561918], ["hook", 0.19158608048854264], ["shitti", 0.18599338320646813], ["realis", 0.1843424473799381], ["mbapp", 0.18383012343316132], ["equalis", 0.18085815557390736], ["defend", 0.17992723286577061], ["trim", 0.1762965622796156], ["influenti", 0.1754294024994202], ["zinedin", 0.1754294024994202]]</t>
  </si>
  <si>
    <t>Antoine Griezmann is the first quintuple-winning Newcastle manager to score in Euro 2020. OMG, whatta goal coulda been! #hunfra. Just realised Griezmann was dancing after an equaliser against Hungary. That ball from Griez #HUNFRA. What a soccer player Mbappe is!</t>
  </si>
  <si>
    <t>[["touch", 0.6074653565875275], ["dor", 0.6074653565875275], ["shot", 0.5118316921527778]]</t>
  </si>
  <si>
    <t>Lowkey want 🇫🇷 to win euro so my man kante can have a higher chance at the ballon d’or. Pogba costing his team a free kick by taking a shit shot 📝. POGBA: Don’t touch me 😂. Kante why would u take that shot and you know you don't have the facilities for that ?</t>
  </si>
  <si>
    <t>[["2017", 0.3075166100694911], ["doubt", 0.3075166100694911], ["sallai", 0.3075166100694911], ["dribbl", 0.3043232305365314], ["ref", 0.2984563691744324], ["antoin", 0.2880904390841811], ["pass", 0.28134724761771024], ["cost", 0.27941998611390667], ["almost", 0.27941998611390667], ["class", 0.27629250388588866], ["kill", 0.2743889778196126], ["pogba", 0.2543255387945436]]</t>
  </si>
  <si>
    <t>This why english refs don't go to the world cups EURO 2020 #FRA. Pogba doesn't know when to pass or dribble. Almost cost France. Griezmann should've moved in 2017. He would've balled in PL I have no doubt. Sallai, Pass the fucking ball buddy. Killing me rn.</t>
  </si>
  <si>
    <t>[["giroud", 0.5349868477676853], ["wake", 0.5015827619487717], ["header", 0.45213708541482495], ["stg", 0.27585049466184913], ["tolisso", 0.27585049466184913], ["half", 0.2372749782845996], ["mistak", 0.22201228680794569]]</t>
  </si>
  <si>
    <t>Tolisso gonna make a mistake that leads to a goal. Confirm giroud score header stg. Benzema first half against Hungary.. Not goal for Giroud please. Giroud is gonna score. OHHH MY GODDDD OLIVIER GIROUD IS ON HE WILL SCORE THE WINNER I FEEL IT IN MY BALLS HENRY WAKE UP WAKE UP.</t>
  </si>
  <si>
    <t>[["wont", 0.5672816952154729], ["win", 0.5003181305322386], ["excit", 0.29264432443113736], ["header", 0.27978555119996373], ["dfkm", 0.26659434729600706], ["play", 0.25958510690204906], ["winner", 0.25062407424950445], ["bring", 0.2503661137678332]]</t>
  </si>
  <si>
    <t>Made in Chelsea.. Who's winning the midfield battle? 🤔. EURO 2020. Giroud header for the win. You need a winner and you sub on Tolisso dfkm. Hungary playing some good exciting football. EURO 2020 #HUNFRA. An Mbappe goal won’t be bad. Pogba out dem no fit win.</t>
  </si>
  <si>
    <t>[["mbapp", 0.5357683194310094], ["dem", 0.3007744993093068], ["quintupl", 0.3007744993093068], ["miracl", 0.3007744993093068], ["wtf", 0.30036809364355355], ["newcastl", 0.278110749819728], ["assist", 0.27294707688708236], ["rob", 0.27212767894791823], ["actual", 0.25813005495487035], ["didnt", 0.24249767636750003]]</t>
  </si>
  <si>
    <t>Pogba out dem no fit win. Antoine Griezmann is the first quintuple-winning Newcastle manager to score in Euro 2020. Pavard is actually a better footballer than Dembele wtf. Mbappe robbed giroud of an Assist. Praying to the gods of football for a miracle. Go, Hungary! EURO 2020.</t>
  </si>
  <si>
    <t>[["vive", 1.0]]</t>
  </si>
  <si>
    <t>Vive La France 🇫🇷🇫🇷🇫🇷 We need one moreee! 🙌🙌 EURO 2020.</t>
  </si>
  <si>
    <t>[["lemar", 1.0]]</t>
  </si>
  <si>
    <t>Lemar to score.</t>
  </si>
  <si>
    <t>[["wait", 0.35663691653570156], ["kimpemb", 0.35663691653570156], ["that", 0.35663691653570156], ["penalti", 0.35663691653570156], ["travesti", 0.3250862389905099], ["pen", 0.32237040365174735], ["deschamp", 0.3162231052250777], ["pass", 0.30520729296710225], ["stress", 0.297469586958979]]</t>
  </si>
  <si>
    <t>"Don't pass it to Benzema.." Oh wait that's me.. Deschamps : Pass the ball to Giroud. Mbappe :. Is that not a foul on Kimpembe? I could spot at least 2 penalty appeals for that corner EURO 2020. Not given, its a travesty! #FRA #HUN. That’s a pen. #HUNFRA.</t>
  </si>
  <si>
    <t>[["level", 0.30578144385769973], ["easili", 0.30578144385769973], ["champion", 0.30578144385769973], ["rescu", 0.2842387813381366], ["world", 0.27485441494551516], ["point", 0.25748546270432754], ["hungari", 0.15289072192884987], ["remi", 0.15289072192884987], ["uero", 0.15289072192884987], ["anyway", 0.15289072192884987], ["best", 0.15289072192884987], ["much", 0.15289072192884987], ["need", 0.15289072192884987], ["equalis", 0.15289072192884987], ["fiola", 0.15289072192884945], ["rig", 0.14944893241351645], ["deserv", 0.1490859772588754], ["kanda", 0.1476005153217536], ["sollunga", 0.1476005153217536], ["pogba", 0.14342937333501113], ["final", 0.14200739308740437], ["newcastl", 0.14137011343012876], ["score", 0.13565861185636294], ["strike", 0.1346311382436363], ["understand", 0.13402859801650613], ["bodi", 0.1337455801181552], ["varan", 0.1319769789384095], ["finish", 0.12853449114615947], ["net", 0.12614091533067887], ["wait", 0.12405493044316174]]</t>
  </si>
  <si>
    <t>So much for super sub Giroud. Well played Hungary 👏👏👏. #HUN 1-1 #FRA FT: It finishes level in Budapest as Hungary take a point from the World Cup Champions.. ⏰ RESULT ⏰. 🇭🇺 Fiola strikes just before break. 🇫🇷 Griezmann nets second-half equaliser. 🤔 Who impressed you?. EURO 2020.</t>
  </si>
  <si>
    <t>EURO 2020 Kick-off in Budapest! Hungary Vs France ⚽. What are your predictions? Kick-off ⚽️ Here. We go. Allez Les Bleus!!! #HUNFRA Fiersdetre Bleus. ⚽️ KICK-OFF! 🇭🇺🆚🇫🇷. ℹ️ Group F, matchday 2. 🤔 What will happen in Budapest? EURO 2020.</t>
  </si>
  <si>
    <t>[["offsid", 0.7499529713065257], ["griezmann", 0.6614911494710367]]</t>
  </si>
  <si>
    <t>Offside or not that’s awful from Griezmann. Wtf how has Griezmann not scored that. Offside but how does Griezmann miss that. Griezmann is happy for that offside flag 😂. 📸 - It was offside, but Griezmann failed to finish this... Griezmann lmao offside but how has he not scored.</t>
  </si>
  <si>
    <t>[["dign", 0.5352426474956039], ["cross", 0.5063706397970571], ["wouldv", 0.48966152689762016], ["giroud", 0.46619274182435216]]</t>
  </si>
  <si>
    <t>What a cross digne. What a ball from digne. Giroud would’ve scored that. Giroud scores that header. Digne crosses are always on point 🤧. Perfect Digne cross, Mbappe - totally unmarked, heads wide.. Giroud would have scored. Giroud would've scored that too ahahahahah.</t>
  </si>
  <si>
    <t>[["mbapp", 0.7083519810359261], ["free", 0.7058593846953366]]</t>
  </si>
  <si>
    <t>That must’ve hurt bro getting a shot from mbappe to the face😭😭😭. Mbappe on free kicks since when?? Seriously Has mbappe ever scored a free kick goal? Wtf does Mbappe know about taking free kicks? Stick to running fast and dribbling pal. Mbappe taking free kicks 😹😹😹.</t>
  </si>
  <si>
    <t>[["mbapp", 0.6329946027430039], ["giroud", 0.5513073671349751], ["ff", 0.543486908619636]]</t>
  </si>
  <si>
    <t>Giroud would have scored that. Bring Giroud in, these guys are incapable of finishing ffs. That would’ve been such a good goal ffsss. Griezmann ball over the top, Mbappe touch and reverse pass, Benzema half volley. What a pass by Mbappe! Benzema bottled it...</t>
  </si>
  <si>
    <t>Pavard is one if those players that lives off the 'WC winner' hype. Hasnt been good for Bayern either. Did no one ever teach the French players that you don't play with your food? #FRAHUN EURO 2020. #HUNFRA Great pass what a Player. Mbappe is a special player!</t>
  </si>
  <si>
    <t>[["piss", 0.7210519169178718], ["benzema", 0.6928810382086253]]</t>
  </si>
  <si>
    <t>Benzema is really taking the piss now. Benzema fucking pass. Benzema is just taking the piss at this point. He know I’ve got mbappe smh. That was a terrible attempt at a pass benzema. Benzema is just doing rubbish out there. Should have slipped the ball through to Mbappe there.</t>
  </si>
  <si>
    <t>[["lead", 0.5663298241974491], ["champion", 0.5244273601745586], ["goal", 0.49405334107643084], ["giroud", 0.2831649120987246], ["win", 0.2827992271067364]]</t>
  </si>
  <si>
    <t>The scenes when Giroud scores a goal before Benzema in this tournament. Go Kart!! Puskas Arena erupts. 1-0 against world champions. #hun takes the early lead! 🙀. EURO 2020. Of course, #HUN's first shot on target had to be a goal. These boys are really hungary🔥 what a goal.#HUNFRA.</t>
  </si>
  <si>
    <t>[["fiola", 0.7008710921260468], ["drill", 0.5583169860364405], ["kimpemb", 0.27915849301822027], ["dribbl", 0.2563347598311893], ["save", 0.23113823137531847]]</t>
  </si>
  <si>
    <t>Only Giroud can save France. Could've never save that Lloris. 😂. Kimpembe and Varane have Mustafi DNA take off Kimpembe take off Rabiot bring on Tolisso bring on Hernandez. Lol kante dribbling 😂🤦🏾‍♂️. The World Champions are behind! This is not a drill. 😬. EURO 2020 #HUN.</t>
  </si>
  <si>
    <t>[["striker", 0.6191862532847838], ["giroud", 0.5736507970872314], ["alreadi", 0.5362211733457897]]</t>
  </si>
  <si>
    <t>Giroud is France best striker. Giroud is coming on and saving them isn’t he. Germany and Portugal already winning with #Fra losing here.. 😬. I don't care how this game ends, this is already a win for us! So proud! #HUNFRA #magyarok.</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</si>
  <si>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</si>
  <si>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[["scene", 0.8805186566227625], ["pl", 0.2965205522650531], ["shouldnt", 0.26653036736675567], ["90th", 0.2563669649058081]]</t>
  </si>
  <si>
    <t>#FRA pls win aaaa. Pavard caused a goal imagine my shock. 😱 What a goal! What a celebration! Hungary have shocked France. #HUN 1-0 #FRA. 📺💻📲 Watch:. bbceuro 2020 euro 2020. 🇭🇺 When you score against the world champions... 🥳 Scenes in Budapest!. EURO 2020.</t>
  </si>
  <si>
    <t>[["varan", 0.6123408550119696], ["fiola", 0.589256431143202], ["half", 0.5270820957304344]]</t>
  </si>
  <si>
    <t>Good 1st half.. france seems over confident that costs them goal to half should be 🔥 EURO 2020 #FRAHUN. Varane on the Hungary goal. Varane slander on tl😥. I am gonna hunt you all when he scores. #HUNFRA. Full Goal Fiola 🔥🔥🎥..</t>
  </si>
  <si>
    <t>[["champ", 0.6265602839795019], ["mood", 0.5730286283922534], ["lead", 0.5282616790781047]]</t>
  </si>
  <si>
    <t>#HUN strike first and lead #FRA 1-0 at halftime💥. (🎥: TUDN USA). Hungary lead at half-time. 🇭🇺1-0 🇫🇷 #HUNFRA Fiersdetre Bleus. ATTILA FIOLA 💥. HUNGARY LEADS FRANCE 😱. EURO 2020 (via ESPN FC). #HUN mood after taking the lead against the World Champs 😤.</t>
  </si>
  <si>
    <t>[["unbeaten", 1.0]]</t>
  </si>
  <si>
    <t>🇭🇺 Hungary are unbeaten against France at EURO finals (W3 D1) 💪. EURO 2020.</t>
  </si>
  <si>
    <t>[["half", 0.8859733915403316], ["giroud", 0.46373607740019757]]</t>
  </si>
  <si>
    <t>France really need to put giroud on #FRAHUN. I didn’t expect Rabiot to even start this half. Go for a run, miss the first half. #HUN 1-0 #FRA. Maybe you start your second all time France scorer Olivier Giroud next time 👋🏽. Mbappe has had a nightmare second half unfortunately.</t>
  </si>
  <si>
    <t>[["equalis", 0.5707534616566265], ["llori", 0.4047539244244392], ["assist", 0.3634220131652569], ["defend", 0.21202937175512157], ["final", 0.210491501910384], ["yeah", 0.20986589111851342], ["franc", 0.20778277644830384], ["smh", 0.1962064827621107], ["fiola", 0.19131915265587593], ["hook", 0.18398552902948775], ["want", 0.18052622500226462], ["mbapp", 0.17653457415056822], ["simpl", 0.1707449413095991]]</t>
  </si>
  <si>
    <t>I desperately need france to win this smh EURO 2020. That ball by lloris and the work by mbappe class. Griezmann how you celebrating like that 😂😂😂😂 it’s a equaliser. This commentator thinks Pavard’s defended well and Varane’s had a bad game… lol.</t>
  </si>
  <si>
    <t>[["griezmann", 0.6411251632122275], ["cring", 0.6058359874745038], ["sub", 0.35891338777130954], ["life", 0.30512695956832336]]</t>
  </si>
  <si>
    <t>Antoine Griezmann taking a photo of a duck #FRA. That dance was really cringe. Take the goal away from Griezmann, can’t be having that here. NOW SUB IN GIROUD PLEASE. Finally griezmann. 🙌🏽 Still want 3 more. Watching Mbappe play football is one of the joys of life.</t>
  </si>
  <si>
    <t>[["deliv", 0.43871724060077527], ["tragam", 0.43871724060077527], ["neymar", 0.43871724060077527], ["score", 0.3956965030334017], ["full", 0.36751769657268163], ["champion", 0.3618515836527064]]</t>
  </si>
  <si>
    <t>Finally, France scored a goal, and it's Griezmann who scored it. Loving a full crowd. How much better is football with a full stadium!!!#HUNFRA. Route one football delivers for France. 😅. EURO 2020. Neymar ronaldo mbappe. tragam a champions.</t>
  </si>
  <si>
    <t>[["antoin", 1.0]]</t>
  </si>
  <si>
    <t>You think Antoine Griezmann wasn’t scoring on Juneteenth weekend? TUH. You know it’s black solidarity with all black people. 🇫🇷 Antoine Griezmann has now scored 38 goals for France in 93 games ⚽️. EURO 2020.</t>
  </si>
  <si>
    <t>[["giroud", 0.8099667243658704], ["pogba", 0.4147010401602715], ["sub", 0.4147010401602715]]</t>
  </si>
  <si>
    <t>Giroud on here comes the winning goal. If Giroud score in this game... I go faint. Omo. If Giroud score today everywhere go scatter o. Oh man if Giroud scores Benzema and Mbappe would be furious. #HUNFRA. Bringing Giroud is a good decision but subbing off Pogba isn't. EURO 2020.</t>
  </si>
  <si>
    <t>[["keeper", 0.7785697476540581], ["mbapp", 0.6275580833977812]]</t>
  </si>
  <si>
    <t>That Hungary Goal Keeper is really good. #HUN. Mbappe should be scoring that. Gulacsi’s shorts makes him look like a Sunday league keeper. Mbappe has to score there... not shoot straight at the keeper. Mbappe needs to finish that, go low and hit it across the keeper smh.</t>
  </si>
  <si>
    <t>[["dembel", 1.0]]</t>
  </si>
  <si>
    <t>Ousmane dembele was so rubbish... Came on and dropped a stinker... And is now subbed off... HAHA dembele off after only coming on in the second half #HUNFRA. FUCK OFF DESCHAMPS HE SUBBED OFF DEMBELE. Hope #Dembele is actually injured, no need for that embarrassment euro 2020.</t>
  </si>
  <si>
    <t>[["werey", 0.5918325247247957], ["nah", 0.5918325247247957], ["wan", 0.5472371746836538]]</t>
  </si>
  <si>
    <t>Mbappe nah werey. Giroud give you ball, return am, you wan form match winner..</t>
  </si>
  <si>
    <t>[["champion", 0.535481631436392], ["touch", 0.48333121358582964], ["win", 0.4559375163364934], ["penalti", 0.26774081571820463], ["lemar", 0.26774081571820463], ["world", 0.2677408157181998], ["hun", 0.23815102007010747]]</t>
  </si>
  <si>
    <t>Penalty to France no? Kimpembe rugby tackled 😂. Not Hungary almost winning against the world champion 😭😭 #HUNFRA. When a draw is a win. #HUN Euro 2020. Can’t believe giroud didn’t have a single touch on the ball🤣. Lemar really passed there at the end instead of crossing it in 🤣🤣.</t>
  </si>
  <si>
    <t>[["fiola", 0.4613099165628342], ["equalis", 0.46130982092101375], ["strike", 0.4062161416101757], ["net", 0.38059899510079537], ["half", 0.2611425519937568], ["level", 0.15376997218761237], ["oliv", 0.15376997218761237], ["ref", 0.14171141604620435], ["micheal", 0.14111489212303943], ["kna", 0.14111489212303943], ["wallad", 0.14111489212303943], ["given", 0.1375385103404487], ["pen", 0.13050224821776396], ["finish", 0.12927367259009798], ["score", 0.1286533919305891]]</t>
  </si>
  <si>
    <t>How he ain’t given that 🤣🤣🤣 Micheal Oliver a wallad ya kna #HUNFRA. Horrendous decision by the VAR ref at the end there, 100% penalty. #HUNFRA euro 2020. ⏰ RESULT ⏰. 🇭🇺 Fiola strikes just before break. 🇫🇷 Griezmann nets second-half equaliser. 🤔 Who impressed you?. EURO 2020.</t>
  </si>
  <si>
    <t>[["griezmann", 0.5878030085819904], ["score", 0.5090712748874336], ["offsid", 0.38344749241466225], ["save", 0.38344749241466225], ["gulacsi", 0.3182296361250138]]</t>
  </si>
  <si>
    <t>What a double save but what the fuck was that by Griezmann. How has Griezmann just shot at the one place in the goal he couldn't score. Griezmann was lucky he was offside how did he miss that. Mbappe needed you to score that for me fantasy lad.</t>
  </si>
  <si>
    <t>[["giroud", 0.759048567628551], ["cross", 0.4548387810310029], ["mbapp", 0.3655444609057725], ["dign", 0.28869395967422795]]</t>
  </si>
  <si>
    <t>Unreal ball from Digne, unlucky to miss that. So close from Mbappe! Fantastic ball from Digne. #HUNFRA. Digne's crosses are so good. Mbappe should have done better with that. Mbappe needed you to score that for me fantasy lad. That would have been a goal if it was Giroud.</t>
  </si>
  <si>
    <t>[["giroud", 0.7439577616280402], ["mbapp", 0.5025263914234228], ["score", 0.4404475846639971]]</t>
  </si>
  <si>
    <t>If you know ball you know the Giroud would have scored that…. Giroud scores that. Saying that though, Mbappé wouldn’t even pass it to him😭. Giroud will score one of those ffs😏😏 Benzema is a misser!🚮. Giroud would’ve scored these chances Mbappé and Benzema have missed.</t>
  </si>
  <si>
    <t>[["mbapp", 0.5418722942318214], ["benzama", 0.4956403713995678], ["would", 0.4717824516140614], ["goal", 0.3035100132139795], ["miss", 0.27300472744967996], ["touch", 0.2673694971398996]]</t>
  </si>
  <si>
    <t>Mbappe and benzema are fighting who misses more chances, not who scores more. Still in awe of that touch and pass from Mbappe, would have been a class assist. Ball from Pogba. Skill and dribble from Mbappe. Would've been such a good goal.</t>
  </si>
  <si>
    <t>[["benzema", 0.6041163232862559], ["run", 0.42304500641923043], ["loos", 0.3736417518083287], ["poor", 0.3736417518083287], ["touch", 0.30838013943680787], ["simpl", 0.2043449706666534], ["anoth", 0.20001223877111954]]</t>
  </si>
  <si>
    <t>Honestly that should have been a simple pass to Griezmann from Benzema. Benzema is just running and playing passes into the Hungary players man😂😂😂. 📸 - Another good chance for France to score but Benzema with a poor pass.. Where Pogba coming with them loose touches nah.</t>
  </si>
  <si>
    <t>[["lead", 0.5540606382867962], ["fiola", 0.5318294198977093], ["champion", 0.3239993611964495], ["world", 0.3106192774633406], ["footbal", 0.22914918728396502], ["wow", 0.2126057594438414], ["win", 0.20179309898660605], ["llori", 0.1272058491879363], ["ff", 0.10277376254202863], ["keeper", 0.10091122048953735], ["frahun", 0.0961986396173078], ["hunfra", 0.07647947109475538], ["hun", 0.0695639336276853], ["gol", 0.06932028893514297], ["love", 0.06743674990192565], ["varan", 0.06372634297581622]]</t>
  </si>
  <si>
    <t>Kante error leading to goal? Give him the ballon dor 🥶🥶🥶. Oh shit #fra 😱 go on #hun this is why we love football!. Omds what a goal from Fiola who put Hungary in the lead before half time 😭. Giroud for Griezmann, there's no way France don't equalise then win this 😀.</t>
  </si>
  <si>
    <t>[["drill", 0.6113133202999564], ["time", 0.3871973257449884], ["behind", 0.3629642975626908], ["champion", 0.2790293295148563], ["scorer", 0.2637862581558351], ["second", 0.2529136072997777], ["half", 0.24632332490489284], ["mayb", 0.1493421004707099], ["save", 0.1431718785078357], ["giroud", 0.12266605826187826], ["defend", 0.12125152603438638]]</t>
  </si>
  <si>
    <t>What a great Goalllllll from Fiola. Hungary scored and leads against fuckin World Champions 🔥🔥🔥⚽. France have to make better of their chances, should be an interesting 2nd half #HUNFRA Euro 2020. Maybe you start your second all time France scorer Olivier Giroud next time 👋🏽.</t>
  </si>
  <si>
    <t>[["giroud", 0.6947189216864156], ["sell", 0.4087727075358256], ["comfort", 0.38755781325627786], ["benzema", 0.2872554423666443], ["celebr", 0.27133463965776733], ["hunger", 0.158302936010771], ["deschamp", 0.13737335772124498]]</t>
  </si>
  <si>
    <t>Get giroud on for botzema and france will score. Benzema don sell this match. Giroud for score that goal comfortably. No way France binned giroud and thought they'd win it without him. Take Giroud out of the World Champions and they're losing to Hungary.</t>
  </si>
  <si>
    <t>[["stinker", 0.5186563603423028], ["half", 0.5018750470969813], ["aint", 0.4028890503512613], ["fiola", 0.36882068074950747], ["scene", 0.3066128902786137], ["giroud", 0.1816809170400317], ["budapest", 0.17206549470826113], ["fuck", 0.15537947408102634]]</t>
  </si>
  <si>
    <t>No way fiola is celebrating like that at half time. Fuck it, Hungary to win the euros EURO 2020. Benzema Kane back to back stinkers for their countries, international football ain’t for everyone. 🇭🇺 When you score against the world champions... 🥳 Scenes in Budapest!. EURO 2020.</t>
  </si>
  <si>
    <t>[["scene", 0.530834269082588], ["budapest", 0.44749567371126414], ["need", 0.3654229048683579], ["tudn", 0.24424299585097403], ["halftim", 0.23416649935377698], ["usa", 0.2326000164310657], ["strike", 0.23197523257251865], ["champion", 0.20919010977229344], ["dead", 0.20148893981583432], ["world", 0.18677955076869954], ["lead", 0.14927381948242038], ["sub", 0.14316866311899226]]</t>
  </si>
  <si>
    <t>🇭🇺 When you score against the world champions... 🥳 Scenes in Budapest!. EURO 2020. Benzema needs to be a super sub and not start. Mbappe inspiring the comeback is bait tbh and I need those points. So, did you have Hungary leading France at halftime? EURO 2020 (🎥 ESPN FC).</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</si>
  <si>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</si>
  <si>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[["fiola", 0.9198845546600849], ["goal", 0.3921892478100556]]</t>
  </si>
  <si>
    <t>Can definitely make a hungarian man named fiola joke about that goal but i wont be the one to do it. Fiola with one of the great goal celebrations of modern times 😅. The noise inside the Puskas Arena when Attila Fiola scored for Hungary. 😍. EURO 2020.</t>
  </si>
  <si>
    <t>[["lead", 0.7040691718581297], ["useless", 0.4212878643555709], ["benzema", 0.38906580896306125], ["bring", 0.3123768024331055], ["scorer", 0.2790191143690998]]</t>
  </si>
  <si>
    <t>Benzema was shit in that half btw, bring on Giroud. Was there any need of Benzema? No doubt if Giroud started the game France would have been 4 nil up. Benzema is useless, no goals since call up. Benzema, Griezmann, Mbappe leading the France attack.. Hungary goalkeeper:👇👇.</t>
  </si>
  <si>
    <t>[["champ", 0.6737327128443845], ["mood", 0.6161729243415137], ["lead", 0.388239535169467], ["world", 0.12524065746860918]]</t>
  </si>
  <si>
    <t>#HUN mood after taking the lead against the World Champs 😤. Upset alert? 👀. Hungary go up just before halftime against the reigning World Champs 🥶. EURO 2020..</t>
  </si>
  <si>
    <t>[["unbeaten", 0.8782280052564803], ["final", 0.47824216750849535]]</t>
  </si>
  <si>
    <t>Did the commentator have to remind us that Pogba was on the losing side in that Europa League final. 😂😂. 🇭🇺 Hungary are unbeaten against France at EURO finals (W3 D1) 💪. EURO 2020.</t>
  </si>
  <si>
    <t>[["mbapp", 0.6891108482034354], ["half", 0.5884599947457997], ["giroud", 0.4228960551626313]]</t>
  </si>
  <si>
    <t>France need giroud la.. This 2nd half stinker from Mbappe💀. Hungary will get a second goal and e go pain mbappe and his misguided team mates. Mbappe awful this half. Mbappe needs to pattern up asap. Benzema, Griezmann, Mbappe leading the France attack.. Hungary goalkeeper:👇👇.</t>
  </si>
  <si>
    <t>[["mbapp", 0.5715811653496631], ["griezmann", 0.46228758338261966], ["assist", 0.36282645766346827], ["giroud", 0.3112452915828795], ["equalis", 0.18611421931027794], ["llori", 0.18427037123561635], ["rout", 0.16878377148011459], ["footbal", 0.151328285818434], ["fra", 0.1313318335046403], ["quintupl", 0.12184630902021144], ["newcastl", 0.11266503125163288], ["final", 0.10508506037488635], ["cross", 0.09333047696818823], ["simpl", 0.08479209458513842], ["easili", 0.07297444835213887], ["asap", 0.0722666184506901], ["credit", 0.06704349931733626], ["defend", 0.06639953397261537], ["obama", 0.06472024581652104], ["player", 0.0641012894216851], ["ball", 0.06320706966213936], ["brace", 0.06184875202633095], ["manag", 0.061526639780671556]]</t>
  </si>
  <si>
    <t>Mbappe running with the ball without passing anyone just to get dispossessed outside the box 😭. Griezmann guaranteeing that people still think he's a good player for the next two years then. Giroud to score the winning assist or goal, let's go!</t>
  </si>
  <si>
    <t>[["griezmann", 0.4412843438017225], ["world", 0.3912168790870317], ["win", 0.33065777209929026], ["footbal", 0.32405296169014497], ["black", 0.3226901179725098], ["tuh", 0.28548452872424485], ["rout", 0.2086374229248872], ["quintupl", 0.17149865527289948], ["newcastl", 0.15857600867277144], ["best", 0.15731428745427892], ["might", 0.15327781903460108], ["franc", 0.15075455331728613], ["restor", 0.1504504339977024], ["mbapp", 0.1459759496147443], ["antoin", 0.1417318270574133], ["equalis", 0.1383962548088248]]</t>
  </si>
  <si>
    <t>Griezmann stinky all game and then gets a tap in. Football is like that sometimes. Mbappe might be the best player in the world now. Listen France managed to equalise but benzema is playing shit where is giroud. Griezmann penalty to win the game, written in the stars.</t>
  </si>
  <si>
    <t>[["bounc", 1.0]]</t>
  </si>
  <si>
    <t>They really let the ball bounce with those roadrunners Mbappe and Dembele on them😭😭. Professional teams are still letting the ball bounce 😫 #HUNFRA. The moment you allow the ball to bounce, you're no longer in control. Advantage is with the opponent. #basics #HUNFRA.</t>
  </si>
  <si>
    <t>[["antoin", 0.7597451231589689], ["hit", 0.6502209992273114]]</t>
  </si>
  <si>
    <t>Griezmann hit them with this once he scored 😭😂. From France's last ten goals* at a Euro Championship Antoine Griezmann has been involved in EIGHT: 6 goals. 2 assists. *excluding own goals. Antoine Griezmann is the first quintuple-winning Newcastle manager to score in Euro 2020.</t>
  </si>
  <si>
    <t>[["sub", 0.8090725246612065], ["giroud", 0.5572774277591098], ["final", 0.1866641860361317]]</t>
  </si>
  <si>
    <t>How do you sub Pogba when you need a goal? Oliver Giroud is on 🔥. I need one goal Giroud. Deschamps finally realising his mistake and bringing on Giroud for Bumzema. Giroud to score the winning is if Mbappe will give him the ball🙄.</t>
  </si>
  <si>
    <t>[["goal", 0.8357963724188083], ["griezmann", 0.5490395467100349]]</t>
  </si>
  <si>
    <t>An Mbappe goal won’t be bad. Giroud for the winning goal. That’s Griezmann’s 7th Goal in #Euro ! My man Griezmann Chief 🇭🇺 celebrating Griezmann's goal against his own country. 🇫🇷 Antoine Griezmann has now scored 38 goals for France in 93 games ⚽️. EURO 2020.</t>
  </si>
  <si>
    <t>[["mbapp", 0.799766839702391], ["keeper", 0.4322709786427507], ["gulacsi", 0.30535413039286036], ["save", 0.20931485583735576], ["pass", 0.19094750407767927]]</t>
  </si>
  <si>
    <t>Gulacsi and Pickford have been my goalkeepers of the tournament so far. Mbappe had a chance to pass there. What's wrong with this guy? Mbappe shot saved - after being set up by Giroud! Mbappe has to score there... not shoot straight at the keeper.</t>
  </si>
  <si>
    <t>[["dembel", 0.725480890333567], ["sub", 0.6882423103535665]]</t>
  </si>
  <si>
    <t>Dembele subbed off.. Euro 2020. Wtf dembele out just play in second half and out again😂 #HUNFRA. SUBSTITUTE SUBSTITUTED Lemar replaces Dembele just after the later came on as a sub. #HUNFRA. Ousmane Dembele gets subbed on 57th minute and substituted off at 86 mins 😭 brutal.</t>
  </si>
  <si>
    <t>[["kimpemb", 0.5745322035886681], ["penalti", 0.3328451885287887], ["world", 0.3180171859229845], ["hun", 0.29801168234137304], ["champion", 0.2949151529357223], ["hungari", 0.2863065472512249], ["pen", 0.25175749261133046], ["final", 0.20000702534153328], ["point", 0.1742962699164945], ["win", 0.16029379428317547], ["waist", 0.12654267949713857], ["level", 0.111593184567284], ["finish", 0.11095279936918997]]</t>
  </si>
  <si>
    <t>That's gotta be a pen? why didn't Kimpembe go down??? Kimpembe trying attack the ball there with a Hungarian attached to his waist. No penalty 🤔. Great performance by the Hungarians against the world champions. Amazing atmosphere all game as well. #HUN Euro 2020.</t>
  </si>
  <si>
    <t>[["equalis", 0.5653199861577741], ["strike", 0.4015160999045035], ["fiola", 0.28539743775893484], ["net", 0.2354642045226034], ["second", 0.23315716085688748], ["champion", 0.21894568654065782], ["half", 0.20579561580648392], ["impress", 0.18922204853216504], ["result", 0.17419450237177794], ["break", 0.15735203380387452], ["griezmann", 0.15675371413335734], ["bow", 0.14269871887946758], ["given", 0.127784070990638], ["level", 0.12613158523542617], ["soni", 0.12411687457795756], ["finish", 0.10603821423015174], ["cup", 0.0913424675329887], ["point", 0.08742574911881255], ["take", 0.08478061389317099], ["nail", 0.08455704625768509], ["ref", 0.0819377642514943], ["alot", 0.07670406756493404]]</t>
  </si>
  <si>
    <t>If kimpembe went down they would have given it ffs. Helluva result for #HUN, and deserved too… Cracking atmosphere at the stadium, and #FRA didn’t look nearly as impressive in the second half. Just realised Griezmann was dancing after an equaliser against Hungary.</t>
  </si>
  <si>
    <t>[["draw", 0.4820798287088838], ["happi", 0.3843681632193159], ["deserv", 0.3367742751693854], ["fiola", 0.27276420138675117], ["equalis", 0.27276420138675117], ["strike", 0.24018824976118677], ["net", 0.1892766746173376], ["group", 0.18528054982567216], ["rivet", 0.17862593653932202], ["half", 0.17395797643403899], ["impress", 0.17093992524313162], ["point", 0.1694775845017314], ["final", 0.15786273044305338], ["break", 0.15038678811165845], ["hunfra", 0.14907476482082962], ["second", 0.1459528867412029], ["cant", 0.13646836441392796]]</t>
  </si>
  <si>
    <t>World Champions #FRA held to a draw.. What a valiant effort from #HUN. Hungary deserved to win the game but they will be happy with the draw #HUNFRA. ⏰ RESULT ⏰. 🇭🇺 Fiola strikes just before break. 🇫🇷 Griezmann nets second-half equaliser. 🤔 Who impressed you?. EURO 2020.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</si>
</sst>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0"/>
    <numFmt numFmtId="165" formatCode="M/d/yyyy H:mm:ss"/>
    <numFmt numFmtId="166" formatCode="h:mm:ss am/pm"/>
  </numFmts>
  <fonts count="19">
    <font>
      <sz val="10.0"/>
      <color rgb="FF000000"/>
      <name val="Arial"/>
      <scheme val="minor"/>
    </font>
    <font>
      <b/>
      <color theme="1"/>
      <name val="Arial"/>
    </font>
    <font>
      <color theme="1"/>
      <name val="Arial"/>
    </font>
    <font>
      <b/>
      <color theme="1"/>
      <name val="Arial"/>
      <scheme val="minor"/>
    </font>
    <font>
      <b/>
      <u/>
      <sz val="8.0"/>
      <color rgb="FF1155CC"/>
      <name val="Inconsolata"/>
    </font>
    <font>
      <b/>
      <u/>
      <sz val="8.0"/>
      <color rgb="FF0000FF"/>
      <name val="Inconsolata"/>
    </font>
    <font>
      <color theme="1"/>
      <name val="Arial"/>
      <scheme val="minor"/>
    </font>
    <font>
      <b/>
      <sz val="8.0"/>
      <color rgb="FF666666"/>
      <name val="Nunito"/>
    </font>
    <font>
      <u/>
      <color theme="1"/>
      <name val="Arial"/>
    </font>
    <font>
      <b/>
      <u/>
      <sz val="8.0"/>
      <color rgb="FF1155CC"/>
      <name val="Inconsolata"/>
    </font>
    <font>
      <u/>
      <color rgb="FF1155CC"/>
      <name val="Arial"/>
    </font>
    <font>
      <u/>
      <color rgb="FF0000FF"/>
      <name val="Arial"/>
    </font>
    <font>
      <u/>
      <color theme="1"/>
      <name val="Arial"/>
    </font>
    <font>
      <u/>
      <color rgb="FF0000FF"/>
      <name val="Arial"/>
    </font>
    <font>
      <u/>
      <color rgb="FF0000FF"/>
      <name val="Arial"/>
    </font>
    <font>
      <u/>
      <color rgb="FF0000FF"/>
      <name val="Arial"/>
    </font>
    <font>
      <u/>
      <color rgb="FF0000FF"/>
      <name val="Arial"/>
    </font>
    <font>
      <u/>
      <color rgb="FF1155CC"/>
      <name val="Arial"/>
    </font>
    <font>
      <u/>
      <color theme="1"/>
      <name val="Arial"/>
    </font>
  </fonts>
  <fills count="5">
    <fill>
      <patternFill patternType="none"/>
    </fill>
    <fill>
      <patternFill patternType="lightGray"/>
    </fill>
    <fill>
      <patternFill patternType="solid">
        <fgColor rgb="FFDFFFF0"/>
        <bgColor rgb="FFDFFFF0"/>
      </patternFill>
    </fill>
    <fill>
      <patternFill patternType="solid">
        <fgColor rgb="FFFFEADF"/>
        <bgColor rgb="FFFFEADF"/>
      </patternFill>
    </fill>
    <fill>
      <patternFill patternType="solid">
        <fgColor rgb="FFFFFFFF"/>
        <bgColor rgb="FFFFFFFF"/>
      </patternFill>
    </fill>
  </fills>
  <borders count="6">
    <border/>
    <border>
      <left style="thin">
        <color rgb="FF000000"/>
      </left>
    </border>
    <border>
      <top style="thin">
        <color rgb="FF000000"/>
      </top>
    </border>
    <border>
      <left style="thin">
        <color rgb="FF000000"/>
      </left>
      <top style="thin">
        <color rgb="FF000000"/>
      </top>
    </border>
    <border>
      <left style="thin">
        <color rgb="FF000000"/>
      </left>
      <right style="thin">
        <color rgb="FF000000"/>
      </right>
      <top style="thin">
        <color rgb="FF000000"/>
      </top>
      <bottom style="thin">
        <color rgb="FF000000"/>
      </bottom>
    </border>
    <border>
      <right/>
    </border>
  </borders>
  <cellStyleXfs count="1">
    <xf borderId="0" fillId="0" fontId="0" numFmtId="0" applyAlignment="1" applyFont="1"/>
  </cellStyleXfs>
  <cellXfs count="107">
    <xf borderId="0" fillId="0" fontId="0" numFmtId="0" xfId="0" applyAlignment="1" applyFont="1">
      <alignment readingOrder="0" shrinkToFit="0" vertical="bottom" wrapText="0"/>
    </xf>
    <xf borderId="0" fillId="0" fontId="1" numFmtId="0" xfId="0" applyAlignment="1" applyFont="1">
      <alignment vertical="bottom"/>
    </xf>
    <xf borderId="0" fillId="0" fontId="1" numFmtId="3" xfId="0" applyAlignment="1" applyFont="1" applyNumberFormat="1">
      <alignment readingOrder="0" vertical="bottom"/>
    </xf>
    <xf borderId="0" fillId="0" fontId="1" numFmtId="9" xfId="0" applyAlignment="1" applyFont="1" applyNumberFormat="1">
      <alignment readingOrder="0" vertical="bottom"/>
    </xf>
    <xf borderId="0" fillId="0" fontId="2" numFmtId="4" xfId="0" applyAlignment="1" applyFont="1" applyNumberFormat="1">
      <alignment vertical="bottom"/>
    </xf>
    <xf borderId="0" fillId="0" fontId="2" numFmtId="0" xfId="0" applyAlignment="1" applyFont="1">
      <alignment vertical="bottom"/>
    </xf>
    <xf borderId="0" fillId="0" fontId="1" numFmtId="0" xfId="0" applyAlignment="1" applyFont="1">
      <alignment horizontal="right" vertical="bottom"/>
    </xf>
    <xf borderId="0" fillId="0" fontId="2" numFmtId="0" xfId="0" applyAlignment="1" applyFont="1">
      <alignment vertical="bottom"/>
    </xf>
    <xf borderId="0" fillId="0" fontId="1" numFmtId="0" xfId="0" applyAlignment="1" applyFont="1">
      <alignment horizontal="center" readingOrder="0" vertical="bottom"/>
    </xf>
    <xf borderId="0" fillId="0" fontId="2" numFmtId="0" xfId="0" applyAlignment="1" applyFont="1">
      <alignment vertical="top"/>
    </xf>
    <xf borderId="0" fillId="0" fontId="3" numFmtId="0" xfId="0" applyAlignment="1" applyFont="1">
      <alignment horizontal="center" readingOrder="0"/>
    </xf>
    <xf borderId="0" fillId="0" fontId="1" numFmtId="0" xfId="0" applyAlignment="1" applyFont="1">
      <alignment readingOrder="0" vertical="bottom"/>
    </xf>
    <xf borderId="0" fillId="0" fontId="1" numFmtId="0" xfId="0" applyAlignment="1" applyFont="1">
      <alignment horizontal="right" vertical="bottom"/>
    </xf>
    <xf borderId="0" fillId="0" fontId="1" numFmtId="0" xfId="0" applyAlignment="1" applyFont="1">
      <alignment vertical="bottom"/>
    </xf>
    <xf borderId="0" fillId="0" fontId="1" numFmtId="0" xfId="0" applyAlignment="1" applyFont="1">
      <alignment horizontal="right" vertical="top"/>
    </xf>
    <xf borderId="0" fillId="0" fontId="1" numFmtId="10" xfId="0" applyAlignment="1" applyFont="1" applyNumberFormat="1">
      <alignment horizontal="center" vertical="bottom"/>
    </xf>
    <xf borderId="0" fillId="0" fontId="1" numFmtId="9" xfId="0" applyAlignment="1" applyFont="1" applyNumberFormat="1">
      <alignment horizontal="center" readingOrder="0" vertical="bottom"/>
    </xf>
    <xf borderId="0" fillId="0" fontId="2" numFmtId="10" xfId="0" applyAlignment="1" applyFont="1" applyNumberFormat="1">
      <alignment horizontal="right" vertical="bottom"/>
    </xf>
    <xf borderId="0" fillId="0" fontId="4" numFmtId="0" xfId="0" applyAlignment="1" applyFont="1">
      <alignment readingOrder="0" shrinkToFit="0" vertical="bottom" wrapText="0"/>
    </xf>
    <xf borderId="0" fillId="0" fontId="5" numFmtId="0" xfId="0" applyAlignment="1" applyFont="1">
      <alignment readingOrder="0" shrinkToFit="0" vertical="bottom" wrapText="0"/>
    </xf>
    <xf borderId="1" fillId="0" fontId="6" numFmtId="10" xfId="0" applyBorder="1" applyFont="1" applyNumberFormat="1"/>
    <xf borderId="0" fillId="0" fontId="6" numFmtId="10" xfId="0" applyFont="1" applyNumberFormat="1"/>
    <xf borderId="0" fillId="0" fontId="6" numFmtId="0" xfId="0" applyFont="1"/>
    <xf borderId="0" fillId="0" fontId="2" numFmtId="3" xfId="0" applyAlignment="1" applyFont="1" applyNumberFormat="1">
      <alignment horizontal="right" vertical="bottom"/>
    </xf>
    <xf borderId="1" fillId="0" fontId="2" numFmtId="3" xfId="0" applyAlignment="1" applyBorder="1" applyFont="1" applyNumberFormat="1">
      <alignment horizontal="right" vertical="bottom"/>
    </xf>
    <xf borderId="0" fillId="0" fontId="2" numFmtId="0" xfId="0" applyAlignment="1" applyFont="1">
      <alignment horizontal="right" vertical="bottom"/>
    </xf>
    <xf borderId="1" fillId="0" fontId="2" numFmtId="0" xfId="0" applyAlignment="1" applyBorder="1" applyFont="1">
      <alignment horizontal="right" vertical="bottom"/>
    </xf>
    <xf borderId="0" fillId="0" fontId="6" numFmtId="3" xfId="0" applyFont="1" applyNumberFormat="1"/>
    <xf borderId="2" fillId="0" fontId="1" numFmtId="0" xfId="0" applyAlignment="1" applyBorder="1" applyFont="1">
      <alignment vertical="bottom"/>
    </xf>
    <xf borderId="2" fillId="0" fontId="2" numFmtId="10" xfId="0" applyAlignment="1" applyBorder="1" applyFont="1" applyNumberFormat="1">
      <alignment horizontal="right" vertical="bottom"/>
    </xf>
    <xf borderId="0" fillId="0" fontId="2" numFmtId="10" xfId="0" applyAlignment="1" applyFont="1" applyNumberFormat="1">
      <alignment vertical="bottom"/>
    </xf>
    <xf borderId="2" fillId="2" fontId="2" numFmtId="10" xfId="0" applyAlignment="1" applyBorder="1" applyFill="1" applyFont="1" applyNumberFormat="1">
      <alignment horizontal="right" vertical="bottom"/>
    </xf>
    <xf borderId="3" fillId="2" fontId="2" numFmtId="10" xfId="0" applyAlignment="1" applyBorder="1" applyFont="1" applyNumberFormat="1">
      <alignment horizontal="right" vertical="bottom"/>
    </xf>
    <xf borderId="0" fillId="0" fontId="7" numFmtId="0" xfId="0" applyAlignment="1" applyFont="1">
      <alignment readingOrder="0"/>
    </xf>
    <xf borderId="2" fillId="0" fontId="2" numFmtId="3" xfId="0" applyAlignment="1" applyBorder="1" applyFont="1" applyNumberFormat="1">
      <alignment horizontal="right" vertical="bottom"/>
    </xf>
    <xf borderId="3" fillId="0" fontId="2" numFmtId="3" xfId="0" applyAlignment="1" applyBorder="1" applyFont="1" applyNumberFormat="1">
      <alignment horizontal="right" vertical="bottom"/>
    </xf>
    <xf borderId="0" fillId="0" fontId="1" numFmtId="10" xfId="0" applyAlignment="1" applyFont="1" applyNumberFormat="1">
      <alignment horizontal="right" vertical="bottom"/>
    </xf>
    <xf borderId="2" fillId="0" fontId="2" numFmtId="0" xfId="0" applyAlignment="1" applyBorder="1" applyFont="1">
      <alignment horizontal="right" vertical="bottom"/>
    </xf>
    <xf borderId="3" fillId="0" fontId="2" numFmtId="0" xfId="0" applyAlignment="1" applyBorder="1" applyFont="1">
      <alignment horizontal="right" vertical="bottom"/>
    </xf>
    <xf borderId="0" fillId="0" fontId="7" numFmtId="4" xfId="0" applyAlignment="1" applyFont="1" applyNumberFormat="1">
      <alignment readingOrder="0"/>
    </xf>
    <xf borderId="1" fillId="2" fontId="2" numFmtId="10" xfId="0" applyAlignment="1" applyBorder="1" applyFont="1" applyNumberFormat="1">
      <alignment horizontal="right" vertical="bottom"/>
    </xf>
    <xf borderId="0" fillId="2" fontId="2" numFmtId="10" xfId="0" applyAlignment="1" applyFont="1" applyNumberFormat="1">
      <alignment horizontal="right" vertical="bottom"/>
    </xf>
    <xf borderId="0" fillId="0" fontId="6" numFmtId="0" xfId="0" applyAlignment="1" applyFont="1">
      <alignment horizontal="right"/>
    </xf>
    <xf borderId="0" fillId="0" fontId="3" numFmtId="0" xfId="0" applyAlignment="1" applyFont="1">
      <alignment readingOrder="0"/>
    </xf>
    <xf borderId="0" fillId="0" fontId="8" numFmtId="164" xfId="0" applyAlignment="1" applyFont="1" applyNumberFormat="1">
      <alignment horizontal="right" readingOrder="0" vertical="bottom"/>
    </xf>
    <xf borderId="0" fillId="0" fontId="2" numFmtId="164" xfId="0" applyAlignment="1" applyFont="1" applyNumberFormat="1">
      <alignment horizontal="right" vertical="bottom"/>
    </xf>
    <xf borderId="0" fillId="0" fontId="2" numFmtId="0" xfId="0" applyAlignment="1" applyFont="1">
      <alignment readingOrder="0" vertical="bottom"/>
    </xf>
    <xf borderId="0" fillId="0" fontId="2" numFmtId="10" xfId="0" applyFont="1" applyNumberFormat="1"/>
    <xf borderId="0" fillId="0" fontId="6" numFmtId="4" xfId="0" applyFont="1" applyNumberFormat="1"/>
    <xf borderId="0" fillId="0" fontId="1" numFmtId="3" xfId="0" applyAlignment="1" applyFont="1" applyNumberFormat="1">
      <alignment horizontal="center" readingOrder="0" vertical="bottom"/>
    </xf>
    <xf borderId="0" fillId="0" fontId="6" numFmtId="10" xfId="0" applyAlignment="1" applyFont="1" applyNumberFormat="1">
      <alignment horizontal="right"/>
    </xf>
    <xf borderId="0" fillId="0" fontId="1" numFmtId="4" xfId="0" applyAlignment="1" applyFont="1" applyNumberFormat="1">
      <alignment horizontal="center" readingOrder="0" vertical="bottom"/>
    </xf>
    <xf borderId="0" fillId="0" fontId="6" numFmtId="0" xfId="0" applyFont="1"/>
    <xf borderId="0" fillId="0" fontId="6" numFmtId="2" xfId="0" applyFont="1" applyNumberFormat="1"/>
    <xf borderId="2" fillId="0" fontId="2" numFmtId="164" xfId="0" applyAlignment="1" applyBorder="1" applyFont="1" applyNumberFormat="1">
      <alignment horizontal="right" vertical="bottom"/>
    </xf>
    <xf borderId="2" fillId="0" fontId="2" numFmtId="4" xfId="0" applyAlignment="1" applyBorder="1" applyFont="1" applyNumberFormat="1">
      <alignment horizontal="right" vertical="bottom"/>
    </xf>
    <xf borderId="0" fillId="0" fontId="1" numFmtId="0" xfId="0" applyAlignment="1" applyFont="1">
      <alignment readingOrder="0" vertical="bottom"/>
    </xf>
    <xf borderId="0" fillId="0" fontId="2" numFmtId="4" xfId="0" applyAlignment="1" applyFont="1" applyNumberFormat="1">
      <alignment horizontal="right" vertical="bottom"/>
    </xf>
    <xf borderId="0" fillId="0" fontId="9" numFmtId="0" xfId="0" applyAlignment="1" applyFont="1">
      <alignment readingOrder="0" vertical="bottom"/>
    </xf>
    <xf borderId="0" fillId="0" fontId="3" numFmtId="4" xfId="0" applyAlignment="1" applyFont="1" applyNumberFormat="1">
      <alignment readingOrder="0"/>
    </xf>
    <xf borderId="0" fillId="0" fontId="3" numFmtId="0" xfId="0" applyFont="1"/>
    <xf borderId="0" fillId="0" fontId="6" numFmtId="4" xfId="0" applyAlignment="1" applyFont="1" applyNumberFormat="1">
      <alignment readingOrder="0"/>
    </xf>
    <xf borderId="0" fillId="0" fontId="6" numFmtId="0" xfId="0" applyAlignment="1" applyFont="1">
      <alignment readingOrder="0"/>
    </xf>
    <xf borderId="0" fillId="0" fontId="6" numFmtId="9" xfId="0" applyAlignment="1" applyFont="1" applyNumberFormat="1">
      <alignment readingOrder="0"/>
    </xf>
    <xf borderId="0" fillId="0" fontId="6" numFmtId="3" xfId="0" applyAlignment="1" applyFont="1" applyNumberFormat="1">
      <alignment readingOrder="0"/>
    </xf>
    <xf borderId="0" fillId="0" fontId="10" numFmtId="0" xfId="0" applyAlignment="1" applyFont="1">
      <alignment readingOrder="0" vertical="bottom"/>
    </xf>
    <xf borderId="0" fillId="0" fontId="1" numFmtId="165" xfId="0" applyAlignment="1" applyFont="1" applyNumberFormat="1">
      <alignment vertical="bottom"/>
    </xf>
    <xf borderId="0" fillId="0" fontId="2" numFmtId="0" xfId="0" applyAlignment="1" applyFont="1">
      <alignment horizontal="right" vertical="bottom"/>
    </xf>
    <xf borderId="0" fillId="0" fontId="2" numFmtId="165" xfId="0" applyAlignment="1" applyFont="1" applyNumberFormat="1">
      <alignment horizontal="right" vertical="bottom"/>
    </xf>
    <xf borderId="0" fillId="3" fontId="2" numFmtId="0" xfId="0" applyAlignment="1" applyFill="1" applyFont="1">
      <alignment vertical="bottom"/>
    </xf>
    <xf borderId="0" fillId="0" fontId="2" numFmtId="9" xfId="0" applyAlignment="1" applyFont="1" applyNumberFormat="1">
      <alignment horizontal="right" vertical="bottom"/>
    </xf>
    <xf borderId="0" fillId="0" fontId="2" numFmtId="166" xfId="0" applyAlignment="1" applyFont="1" applyNumberFormat="1">
      <alignment vertical="bottom"/>
    </xf>
    <xf borderId="0" fillId="0" fontId="11" numFmtId="0" xfId="0" applyAlignment="1" applyFont="1">
      <alignment vertical="bottom"/>
    </xf>
    <xf borderId="0" fillId="2" fontId="2" numFmtId="0" xfId="0" applyAlignment="1" applyFont="1">
      <alignment vertical="bottom"/>
    </xf>
    <xf borderId="0" fillId="0" fontId="2" numFmtId="0" xfId="0" applyFont="1"/>
    <xf borderId="0" fillId="0" fontId="2" numFmtId="166" xfId="0" applyAlignment="1" applyFont="1" applyNumberFormat="1">
      <alignment horizontal="right" vertical="bottom"/>
    </xf>
    <xf borderId="0" fillId="0" fontId="2" numFmtId="165" xfId="0" applyAlignment="1" applyFont="1" applyNumberFormat="1">
      <alignment vertical="bottom"/>
    </xf>
    <xf borderId="0" fillId="0" fontId="2" numFmtId="0" xfId="0" applyAlignment="1" applyFont="1">
      <alignment horizontal="right" readingOrder="0" vertical="bottom"/>
    </xf>
    <xf borderId="0" fillId="0" fontId="2" numFmtId="165" xfId="0" applyAlignment="1" applyFont="1" applyNumberFormat="1">
      <alignment horizontal="right" readingOrder="0" vertical="bottom"/>
    </xf>
    <xf borderId="0" fillId="0" fontId="2" numFmtId="0" xfId="0" applyAlignment="1" applyFont="1">
      <alignment readingOrder="0"/>
    </xf>
    <xf borderId="0" fillId="0" fontId="12" numFmtId="0" xfId="0" applyAlignment="1" applyFont="1">
      <alignment readingOrder="0" vertical="bottom"/>
    </xf>
    <xf borderId="0" fillId="0" fontId="2" numFmtId="3" xfId="0" applyAlignment="1" applyFont="1" applyNumberFormat="1">
      <alignment horizontal="right" readingOrder="0" vertical="bottom"/>
    </xf>
    <xf borderId="0" fillId="0" fontId="2" numFmtId="10" xfId="0" applyAlignment="1" applyFont="1" applyNumberFormat="1">
      <alignment horizontal="right" readingOrder="0" vertical="bottom"/>
    </xf>
    <xf borderId="0" fillId="0" fontId="2" numFmtId="0" xfId="0" applyAlignment="1" applyFont="1">
      <alignment horizontal="right" readingOrder="0" vertical="bottom"/>
    </xf>
    <xf borderId="0" fillId="0" fontId="2" numFmtId="0" xfId="0" applyAlignment="1" applyFont="1">
      <alignment readingOrder="0" vertical="bottom"/>
    </xf>
    <xf borderId="0" fillId="0" fontId="13" numFmtId="0" xfId="0" applyAlignment="1" applyFont="1">
      <alignment vertical="bottom"/>
    </xf>
    <xf borderId="0" fillId="0" fontId="6" numFmtId="0" xfId="0" applyAlignment="1" applyFont="1">
      <alignment readingOrder="0"/>
    </xf>
    <xf borderId="0" fillId="0" fontId="2" numFmtId="166" xfId="0" applyAlignment="1" applyFont="1" applyNumberFormat="1">
      <alignment horizontal="right" readingOrder="0" vertical="bottom"/>
    </xf>
    <xf borderId="4" fillId="0" fontId="2" numFmtId="166" xfId="0" applyAlignment="1" applyBorder="1" applyFont="1" applyNumberFormat="1">
      <alignment vertical="bottom"/>
    </xf>
    <xf borderId="4" fillId="0" fontId="14" numFmtId="0" xfId="0" applyAlignment="1" applyBorder="1" applyFont="1">
      <alignment vertical="bottom"/>
    </xf>
    <xf borderId="0" fillId="3" fontId="2" numFmtId="0" xfId="0" applyAlignment="1" applyFont="1">
      <alignment vertical="bottom"/>
    </xf>
    <xf borderId="0" fillId="2" fontId="2" numFmtId="0" xfId="0" applyAlignment="1" applyFont="1">
      <alignment vertical="bottom"/>
    </xf>
    <xf borderId="0" fillId="0" fontId="2" numFmtId="9" xfId="0" applyAlignment="1" applyFont="1" applyNumberFormat="1">
      <alignment horizontal="right" readingOrder="0" vertical="bottom"/>
    </xf>
    <xf borderId="0" fillId="0" fontId="2" numFmtId="0" xfId="0" applyAlignment="1" applyFont="1">
      <alignment horizontal="left" readingOrder="0" vertical="bottom"/>
    </xf>
    <xf borderId="0" fillId="0" fontId="6" numFmtId="0" xfId="0" applyAlignment="1" applyFont="1">
      <alignment horizontal="left" readingOrder="0"/>
    </xf>
    <xf borderId="0" fillId="0" fontId="2" numFmtId="166" xfId="0" applyAlignment="1" applyFont="1" applyNumberFormat="1">
      <alignment readingOrder="0" vertical="bottom"/>
    </xf>
    <xf borderId="0" fillId="0" fontId="2" numFmtId="0" xfId="0" applyFont="1"/>
    <xf borderId="0" fillId="0" fontId="6" numFmtId="166" xfId="0" applyFont="1" applyNumberFormat="1"/>
    <xf borderId="0" fillId="0" fontId="6" numFmtId="165" xfId="0" applyFont="1" applyNumberFormat="1"/>
    <xf borderId="0" fillId="0" fontId="6" numFmtId="166" xfId="0" applyAlignment="1" applyFont="1" applyNumberFormat="1">
      <alignment readingOrder="0"/>
    </xf>
    <xf borderId="0" fillId="0" fontId="1" numFmtId="0" xfId="0" applyAlignment="1" applyFont="1">
      <alignment readingOrder="0"/>
    </xf>
    <xf borderId="5" fillId="0" fontId="2" numFmtId="0" xfId="0" applyAlignment="1" applyBorder="1" applyFont="1">
      <alignment shrinkToFit="0" vertical="bottom" wrapText="0"/>
    </xf>
    <xf borderId="4" fillId="0" fontId="15" numFmtId="0" xfId="0" applyAlignment="1" applyBorder="1" applyFont="1">
      <alignment shrinkToFit="0" vertical="bottom" wrapText="0"/>
    </xf>
    <xf borderId="0" fillId="4" fontId="2" numFmtId="166" xfId="0" applyAlignment="1" applyFill="1" applyFont="1" applyNumberFormat="1">
      <alignment vertical="bottom"/>
    </xf>
    <xf borderId="0" fillId="0" fontId="16" numFmtId="0" xfId="0" applyAlignment="1" applyFont="1">
      <alignment shrinkToFit="0" vertical="bottom" wrapText="0"/>
    </xf>
    <xf borderId="0" fillId="0" fontId="17" numFmtId="0" xfId="0" applyAlignment="1" applyFont="1">
      <alignment vertical="bottom"/>
    </xf>
    <xf borderId="0" fillId="0" fontId="18" numFmtId="0" xfId="0" applyAlignment="1" applyFont="1">
      <alignment shrinkToFit="0" vertical="bottom" wrapText="0"/>
    </xf>
  </cellXfs>
  <cellStyles count="1">
    <cellStyle xfId="0" name="Normal" builtinId="0"/>
  </cellStyles>
  <dxfs count="5">
    <dxf>
      <font>
        <u/>
      </font>
      <fill>
        <patternFill patternType="none"/>
      </fill>
      <border/>
    </dxf>
    <dxf>
      <font/>
      <fill>
        <patternFill patternType="solid">
          <fgColor rgb="FFA4C2F4"/>
          <bgColor rgb="FFA4C2F4"/>
        </patternFill>
      </fill>
      <border/>
    </dxf>
    <dxf>
      <font/>
      <fill>
        <patternFill patternType="solid">
          <fgColor rgb="FFC9DAF8"/>
          <bgColor rgb="FFC9DAF8"/>
        </patternFill>
      </fill>
      <border/>
    </dxf>
    <dxf>
      <font/>
      <fill>
        <patternFill patternType="solid">
          <fgColor rgb="FFDFFFF0"/>
          <bgColor rgb="FFDFFFF0"/>
        </patternFill>
      </fill>
      <border/>
    </dxf>
    <dxf>
      <font/>
      <fill>
        <patternFill patternType="solid">
          <fgColor rgb="FFFFEADF"/>
          <bgColor rgb="FFFFEADF"/>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434343"/>
                </a:solidFill>
                <a:latin typeface="Roboto"/>
              </a:defRPr>
            </a:pPr>
            <a:r>
              <a:rPr b="1" sz="2000">
                <a:solidFill>
                  <a:srgbClr val="434343"/>
                </a:solidFill>
                <a:latin typeface="Roboto"/>
              </a:rPr>
              <a:t>SEER's performance degenerates slowly with fewer tweets</a:t>
            </a:r>
          </a:p>
        </c:rich>
      </c:tx>
      <c:overlay val="0"/>
    </c:title>
    <c:plotArea>
      <c:layout/>
      <c:lineChart>
        <c:ser>
          <c:idx val="0"/>
          <c:order val="0"/>
          <c:tx>
            <c:v>Precision</c:v>
          </c:tx>
          <c:spPr>
            <a:ln cmpd="sng" w="38100">
              <a:solidFill>
                <a:srgbClr val="999999">
                  <a:alpha val="100000"/>
                </a:srgbClr>
              </a:solidFill>
            </a:ln>
          </c:spPr>
          <c:marker>
            <c:symbol val="circle"/>
            <c:size val="10"/>
            <c:spPr>
              <a:solidFill>
                <a:srgbClr val="999999">
                  <a:alpha val="100000"/>
                </a:srgbClr>
              </a:solidFill>
              <a:ln cmpd="sng">
                <a:solidFill>
                  <a:srgbClr val="999999">
                    <a:alpha val="100000"/>
                  </a:srgbClr>
                </a:solidFill>
              </a:ln>
            </c:spPr>
          </c:marker>
          <c:cat>
            <c:strRef>
              <c:f>'Summary (SEER)'!$B$2:$E$2</c:f>
            </c:strRef>
          </c:cat>
          <c:val>
            <c:numRef>
              <c:f>'Summary (SEER)'!$B$11:$E$11</c:f>
              <c:numCache/>
            </c:numRef>
          </c:val>
          <c:smooth val="0"/>
        </c:ser>
        <c:ser>
          <c:idx val="1"/>
          <c:order val="1"/>
          <c:tx>
            <c:v>Recall</c:v>
          </c:tx>
          <c:spPr>
            <a:ln cmpd="sng" w="38100">
              <a:solidFill>
                <a:srgbClr val="CCCCCC">
                  <a:alpha val="100000"/>
                </a:srgbClr>
              </a:solidFill>
            </a:ln>
          </c:spPr>
          <c:marker>
            <c:symbol val="circle"/>
            <c:size val="10"/>
            <c:spPr>
              <a:solidFill>
                <a:srgbClr val="CCCCCC">
                  <a:alpha val="100000"/>
                </a:srgbClr>
              </a:solidFill>
              <a:ln cmpd="sng">
                <a:solidFill>
                  <a:srgbClr val="CCCCCC">
                    <a:alpha val="100000"/>
                  </a:srgbClr>
                </a:solidFill>
              </a:ln>
            </c:spPr>
          </c:marker>
          <c:cat>
            <c:strRef>
              <c:f>'Summary (SEER)'!$B$2:$E$2</c:f>
            </c:strRef>
          </c:cat>
          <c:val>
            <c:numRef>
              <c:f>'Summary (SEER)'!$B$24:$E$24</c:f>
              <c:numCache/>
            </c:numRef>
          </c:val>
          <c:smooth val="0"/>
        </c:ser>
        <c:ser>
          <c:idx val="2"/>
          <c:order val="2"/>
          <c:tx>
            <c:v>F-score</c:v>
          </c:tx>
          <c:spPr>
            <a:ln cmpd="sng" w="38100">
              <a:solidFill>
                <a:srgbClr val="467FB9">
                  <a:alpha val="100000"/>
                </a:srgbClr>
              </a:solidFill>
            </a:ln>
          </c:spPr>
          <c:marker>
            <c:symbol val="circle"/>
            <c:size val="10"/>
            <c:spPr>
              <a:solidFill>
                <a:srgbClr val="467FB9">
                  <a:alpha val="100000"/>
                </a:srgbClr>
              </a:solidFill>
              <a:ln cmpd="sng">
                <a:solidFill>
                  <a:srgbClr val="467FB9">
                    <a:alpha val="100000"/>
                  </a:srgbClr>
                </a:solidFill>
              </a:ln>
            </c:spPr>
          </c:marker>
          <c:dPt>
            <c:idx val="2"/>
            <c:marker>
              <c:symbol val="none"/>
            </c:marker>
          </c:dPt>
          <c:cat>
            <c:strRef>
              <c:f>'Summary (SEER)'!$B$2:$E$2</c:f>
            </c:strRef>
          </c:cat>
          <c:val>
            <c:numRef>
              <c:f>'Summary (SEER)'!$B$36:$E$36</c:f>
              <c:numCache/>
            </c:numRef>
          </c:val>
          <c:smooth val="0"/>
        </c:ser>
        <c:axId val="118114698"/>
        <c:axId val="1965264588"/>
      </c:lineChart>
      <c:catAx>
        <c:axId val="11811469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65264588"/>
      </c:catAx>
      <c:valAx>
        <c:axId val="196526458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114698"/>
      </c:valAx>
    </c:plotArea>
    <c:legend>
      <c:legendPos val="r"/>
      <c:overlay val="0"/>
      <c:txPr>
        <a:bodyPr/>
        <a:lstStyle/>
        <a:p>
          <a:pPr lvl="0">
            <a:defRPr b="0">
              <a:solidFill>
                <a:srgbClr val="1A1A1A"/>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21282F"/>
                </a:solidFill>
                <a:latin typeface="Roboto"/>
              </a:defRPr>
            </a:pPr>
            <a:r>
              <a:rPr b="0" sz="2400">
                <a:solidFill>
                  <a:srgbClr val="21282F"/>
                </a:solidFill>
                <a:latin typeface="Roboto"/>
              </a:rPr>
              <a:t>U-ELD degenerates slower than ELD with fewer tweets</a:t>
            </a:r>
          </a:p>
        </c:rich>
      </c:tx>
      <c:overlay val="0"/>
    </c:title>
    <c:plotArea>
      <c:layout/>
      <c:lineChart>
        <c:ser>
          <c:idx val="0"/>
          <c:order val="0"/>
          <c:tx>
            <c:v>ELD</c:v>
          </c:tx>
          <c:spPr>
            <a:ln cmpd="sng" w="57150">
              <a:solidFill>
                <a:srgbClr val="CCCCCC">
                  <a:alpha val="100000"/>
                </a:srgbClr>
              </a:solidFill>
            </a:ln>
          </c:spPr>
          <c:marker>
            <c:symbol val="circle"/>
            <c:size val="16"/>
            <c:spPr>
              <a:solidFill>
                <a:srgbClr val="CCCCCC">
                  <a:alpha val="100000"/>
                </a:srgbClr>
              </a:solidFill>
              <a:ln cmpd="sng">
                <a:solidFill>
                  <a:srgbClr val="CCCCCC">
                    <a:alpha val="100000"/>
                  </a:srgbClr>
                </a:solidFill>
              </a:ln>
            </c:spPr>
          </c:marker>
          <c:cat>
            <c:strRef>
              <c:f>'Summary (SEER)'!$B$2:$E$2</c:f>
            </c:strRef>
          </c:cat>
          <c:val>
            <c:numRef>
              <c:f>'Summary (ELD)'!$B$36:$E$36</c:f>
              <c:numCache/>
            </c:numRef>
          </c:val>
          <c:smooth val="0"/>
        </c:ser>
        <c:ser>
          <c:idx val="1"/>
          <c:order val="1"/>
          <c:tx>
            <c:v>U-ELD</c:v>
          </c:tx>
          <c:spPr>
            <a:ln cmpd="sng" w="57150">
              <a:solidFill>
                <a:srgbClr val="467FB9">
                  <a:alpha val="100000"/>
                </a:srgbClr>
              </a:solidFill>
            </a:ln>
          </c:spPr>
          <c:marker>
            <c:symbol val="circle"/>
            <c:size val="16"/>
            <c:spPr>
              <a:solidFill>
                <a:srgbClr val="467FB9">
                  <a:alpha val="100000"/>
                </a:srgbClr>
              </a:solidFill>
              <a:ln cmpd="sng">
                <a:solidFill>
                  <a:srgbClr val="467FB9">
                    <a:alpha val="100000"/>
                  </a:srgbClr>
                </a:solidFill>
              </a:ln>
            </c:spPr>
          </c:marker>
          <c:dPt>
            <c:idx val="3"/>
            <c:marker>
              <c:symbol val="none"/>
            </c:marker>
          </c:dPt>
          <c:cat>
            <c:strRef>
              <c:f>'Summary (SEER)'!$B$2:$E$2</c:f>
            </c:strRef>
          </c:cat>
          <c:val>
            <c:numRef>
              <c:f>'Summary (SEER)'!$B$36:$E$36</c:f>
              <c:numCache/>
            </c:numRef>
          </c:val>
          <c:smooth val="0"/>
        </c:ser>
        <c:axId val="755724736"/>
        <c:axId val="74850507"/>
      </c:lineChart>
      <c:catAx>
        <c:axId val="75572473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Tweets</a:t>
                </a:r>
              </a:p>
            </c:rich>
          </c:tx>
          <c:overlay val="0"/>
        </c:title>
        <c:numFmt formatCode="General" sourceLinked="1"/>
        <c:majorTickMark val="none"/>
        <c:minorTickMark val="none"/>
        <c:spPr/>
        <c:txPr>
          <a:bodyPr/>
          <a:lstStyle/>
          <a:p>
            <a:pPr lvl="0">
              <a:defRPr b="0" sz="1400">
                <a:solidFill>
                  <a:srgbClr val="000000"/>
                </a:solidFill>
                <a:latin typeface="Roboto"/>
              </a:defRPr>
            </a:pPr>
          </a:p>
        </c:txPr>
        <c:crossAx val="74850507"/>
      </c:catAx>
      <c:valAx>
        <c:axId val="74850507"/>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F-score</a:t>
                </a:r>
              </a:p>
            </c:rich>
          </c:tx>
          <c:overlay val="0"/>
        </c:title>
        <c:numFmt formatCode="General" sourceLinked="1"/>
        <c:majorTickMark val="none"/>
        <c:minorTickMark val="none"/>
        <c:tickLblPos val="nextTo"/>
        <c:spPr>
          <a:ln/>
        </c:spPr>
        <c:txPr>
          <a:bodyPr/>
          <a:lstStyle/>
          <a:p>
            <a:pPr lvl="0">
              <a:defRPr b="0" sz="1400">
                <a:solidFill>
                  <a:srgbClr val="000000"/>
                </a:solidFill>
                <a:latin typeface="Roboto"/>
              </a:defRPr>
            </a:pPr>
          </a:p>
        </c:txPr>
        <c:crossAx val="755724736"/>
      </c:valAx>
    </c:plotArea>
    <c:legend>
      <c:legendPos val="t"/>
      <c:legendEntry>
        <c:idx val="0"/>
        <c:txPr>
          <a:bodyPr/>
          <a:lstStyle/>
          <a:p>
            <a:pPr lvl="0">
              <a:defRPr sz="1800"/>
            </a:pPr>
          </a:p>
        </c:txPr>
      </c:legendEntry>
      <c:legendEntry>
        <c:idx val="1"/>
        <c:txPr>
          <a:bodyPr/>
          <a:lstStyle/>
          <a:p>
            <a:pPr lvl="0">
              <a:defRPr sz="1800"/>
            </a:pPr>
          </a:p>
        </c:txPr>
      </c:legendEntry>
      <c:overlay val="0"/>
      <c:txPr>
        <a:bodyPr/>
        <a:lstStyle/>
        <a:p>
          <a:pPr lvl="0">
            <a:defRPr b="0" sz="1800">
              <a:solidFill>
                <a:srgbClr val="21282F"/>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434343"/>
                </a:solidFill>
                <a:latin typeface="Roboto"/>
              </a:defRPr>
            </a:pPr>
            <a:r>
              <a:rPr b="1" sz="2000">
                <a:solidFill>
                  <a:srgbClr val="434343"/>
                </a:solidFill>
                <a:latin typeface="Roboto"/>
              </a:rPr>
              <a:t>ELD's performance degenerates quickly with fewer tweets</a:t>
            </a:r>
          </a:p>
        </c:rich>
      </c:tx>
      <c:layout>
        <c:manualLayout>
          <c:xMode val="edge"/>
          <c:yMode val="edge"/>
          <c:x val="0.022583333333333334"/>
          <c:y val="0.05"/>
        </c:manualLayout>
      </c:layout>
      <c:overlay val="0"/>
    </c:title>
    <c:plotArea>
      <c:layout/>
      <c:lineChart>
        <c:ser>
          <c:idx val="0"/>
          <c:order val="0"/>
          <c:tx>
            <c:v>Precision</c:v>
          </c:tx>
          <c:spPr>
            <a:ln cmpd="sng" w="38100">
              <a:solidFill>
                <a:srgbClr val="999999">
                  <a:alpha val="100000"/>
                </a:srgbClr>
              </a:solidFill>
            </a:ln>
          </c:spPr>
          <c:marker>
            <c:symbol val="circle"/>
            <c:size val="10"/>
            <c:spPr>
              <a:solidFill>
                <a:srgbClr val="999999">
                  <a:alpha val="100000"/>
                </a:srgbClr>
              </a:solidFill>
              <a:ln cmpd="sng">
                <a:solidFill>
                  <a:srgbClr val="999999">
                    <a:alpha val="100000"/>
                  </a:srgbClr>
                </a:solidFill>
              </a:ln>
            </c:spPr>
          </c:marker>
          <c:cat>
            <c:strRef>
              <c:f>'Summary (ELD)'!$B$2:$E$2</c:f>
            </c:strRef>
          </c:cat>
          <c:val>
            <c:numRef>
              <c:f>'Summary (ELD)'!$B$11:$E$11</c:f>
              <c:numCache/>
            </c:numRef>
          </c:val>
          <c:smooth val="0"/>
        </c:ser>
        <c:ser>
          <c:idx val="1"/>
          <c:order val="1"/>
          <c:tx>
            <c:v>Recall</c:v>
          </c:tx>
          <c:spPr>
            <a:ln cmpd="sng" w="38100">
              <a:solidFill>
                <a:srgbClr val="CCCCCC">
                  <a:alpha val="100000"/>
                </a:srgbClr>
              </a:solidFill>
            </a:ln>
          </c:spPr>
          <c:marker>
            <c:symbol val="circle"/>
            <c:size val="10"/>
            <c:spPr>
              <a:solidFill>
                <a:srgbClr val="CCCCCC">
                  <a:alpha val="100000"/>
                </a:srgbClr>
              </a:solidFill>
              <a:ln cmpd="sng">
                <a:solidFill>
                  <a:srgbClr val="CCCCCC">
                    <a:alpha val="100000"/>
                  </a:srgbClr>
                </a:solidFill>
              </a:ln>
            </c:spPr>
          </c:marker>
          <c:cat>
            <c:strRef>
              <c:f>'Summary (ELD)'!$B$2:$E$2</c:f>
            </c:strRef>
          </c:cat>
          <c:val>
            <c:numRef>
              <c:f>'Summary (ELD)'!$B$24:$E$24</c:f>
              <c:numCache/>
            </c:numRef>
          </c:val>
          <c:smooth val="0"/>
        </c:ser>
        <c:ser>
          <c:idx val="2"/>
          <c:order val="2"/>
          <c:tx>
            <c:v>F-score</c:v>
          </c:tx>
          <c:spPr>
            <a:ln cmpd="sng" w="38100">
              <a:solidFill>
                <a:srgbClr val="467FB9">
                  <a:alpha val="100000"/>
                </a:srgbClr>
              </a:solidFill>
            </a:ln>
          </c:spPr>
          <c:marker>
            <c:symbol val="circle"/>
            <c:size val="10"/>
            <c:spPr>
              <a:solidFill>
                <a:srgbClr val="467FB9">
                  <a:alpha val="100000"/>
                </a:srgbClr>
              </a:solidFill>
              <a:ln cmpd="sng">
                <a:solidFill>
                  <a:srgbClr val="467FB9">
                    <a:alpha val="100000"/>
                  </a:srgbClr>
                </a:solidFill>
              </a:ln>
            </c:spPr>
          </c:marker>
          <c:cat>
            <c:strRef>
              <c:f>'Summary (ELD)'!$B$2:$E$2</c:f>
            </c:strRef>
          </c:cat>
          <c:val>
            <c:numRef>
              <c:f>'Summary (ELD)'!$B$36:$E$36</c:f>
              <c:numCache/>
            </c:numRef>
          </c:val>
          <c:smooth val="0"/>
        </c:ser>
        <c:axId val="1752381033"/>
        <c:axId val="2142579888"/>
      </c:lineChart>
      <c:catAx>
        <c:axId val="17523810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42579888"/>
      </c:catAx>
      <c:valAx>
        <c:axId val="21425798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2381033"/>
      </c:valAx>
    </c:plotArea>
    <c:legend>
      <c:legendPos val="r"/>
      <c:overlay val="0"/>
      <c:txPr>
        <a:bodyPr/>
        <a:lstStyle/>
        <a:p>
          <a:pPr lvl="0">
            <a:defRPr b="0">
              <a:solidFill>
                <a:srgbClr val="1A1A1A"/>
              </a:solidFill>
              <a:latin typeface="Roboto"/>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323850</xdr:colOff>
      <xdr:row>9</xdr:row>
      <xdr:rowOff>190500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53</xdr:row>
      <xdr:rowOff>133350</xdr:rowOff>
    </xdr:from>
    <xdr:ext cx="7791450" cy="48101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276225</xdr:colOff>
      <xdr:row>10</xdr:row>
      <xdr:rowOff>190500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5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8.88"/>
    <col customWidth="1" min="7" max="7" width="20.38"/>
    <col customWidth="1" min="8" max="9" width="21.0"/>
    <col customWidth="1" min="10" max="10" width="20.38"/>
    <col customWidth="1" min="13" max="13" width="10.0"/>
    <col customWidth="1" min="14" max="14" width="8.0"/>
    <col customWidth="1" min="22" max="22" width="16.38"/>
    <col customWidth="1" min="23" max="23" width="17.0"/>
  </cols>
  <sheetData>
    <row r="1">
      <c r="A1" s="1"/>
      <c r="B1" s="2"/>
      <c r="C1" s="2"/>
      <c r="D1" s="2"/>
      <c r="E1" s="3"/>
      <c r="F1" s="4"/>
      <c r="G1" s="2"/>
      <c r="H1" s="2"/>
      <c r="I1" s="2"/>
      <c r="J1" s="3"/>
      <c r="K1" s="5"/>
      <c r="L1" s="6"/>
      <c r="M1" s="6"/>
      <c r="N1" s="6"/>
      <c r="O1" s="6"/>
      <c r="P1" s="7"/>
      <c r="Q1" s="7"/>
      <c r="R1" s="7"/>
      <c r="S1" s="7"/>
      <c r="T1" s="7"/>
      <c r="U1" s="8" t="s">
        <v>0</v>
      </c>
      <c r="Y1" s="5"/>
      <c r="Z1" s="5"/>
      <c r="AA1" s="5"/>
      <c r="AB1" s="9"/>
      <c r="AC1" s="5"/>
      <c r="AD1" s="5"/>
      <c r="AE1" s="5"/>
      <c r="AF1" s="5"/>
      <c r="AG1" s="10" t="s">
        <v>1</v>
      </c>
      <c r="AL1" s="5"/>
      <c r="AM1" s="5"/>
    </row>
    <row r="2">
      <c r="A2" s="1"/>
      <c r="B2" s="2">
        <v>10000.0</v>
      </c>
      <c r="C2" s="2">
        <v>25000.0</v>
      </c>
      <c r="D2" s="2">
        <v>50000.0</v>
      </c>
      <c r="E2" s="11" t="s">
        <v>2</v>
      </c>
      <c r="F2" s="4"/>
      <c r="G2" s="2">
        <v>10000.0</v>
      </c>
      <c r="H2" s="2">
        <v>25000.0</v>
      </c>
      <c r="I2" s="2">
        <v>50000.0</v>
      </c>
      <c r="J2" s="3">
        <v>1.0</v>
      </c>
      <c r="K2" s="5"/>
      <c r="L2" s="6" t="str">
        <f t="array" ref="L2:O2">TRANSPOSE(INDEX(INDIRECT(INDEX($J$4,0) &amp; "!$A$14:$A$17"),0))</f>
        <v>Goal</v>
      </c>
      <c r="M2" s="6" t="s">
        <v>3</v>
      </c>
      <c r="N2" s="6" t="s">
        <v>4</v>
      </c>
      <c r="O2" s="6" t="s">
        <v>5</v>
      </c>
      <c r="P2" s="11" t="s">
        <v>6</v>
      </c>
      <c r="Q2" s="11" t="s">
        <v>7</v>
      </c>
      <c r="R2" s="11" t="s">
        <v>8</v>
      </c>
      <c r="S2" s="11" t="s">
        <v>9</v>
      </c>
      <c r="T2" s="7"/>
      <c r="U2" s="6" t="str">
        <f t="array" ref="U2:X2">TRANSPOSE(INDEX(INDIRECT(INDEX($J$4,0) &amp; "!$A$14:$A$17"),0))</f>
        <v>Goal</v>
      </c>
      <c r="V2" s="12" t="s">
        <v>3</v>
      </c>
      <c r="W2" s="12" t="s">
        <v>4</v>
      </c>
      <c r="X2" s="6" t="s">
        <v>5</v>
      </c>
      <c r="Y2" s="13" t="s">
        <v>10</v>
      </c>
      <c r="Z2" s="5"/>
      <c r="AA2" s="6" t="str">
        <f t="array" ref="AA2:AE2">TRANSPOSE(INDEX(INDIRECT(INDEX($J$4,0) &amp; "!$A$2:$A$6"),0))</f>
        <v>Redundant</v>
      </c>
      <c r="AB2" s="6" t="s">
        <v>11</v>
      </c>
      <c r="AC2" s="14" t="s">
        <v>12</v>
      </c>
      <c r="AD2" s="6" t="s">
        <v>13</v>
      </c>
      <c r="AE2" s="6" t="s">
        <v>14</v>
      </c>
      <c r="AF2" s="5"/>
      <c r="AG2" s="6" t="str">
        <f t="array" ref="AG2:AK2">TRANSPOSE(INDEX(INDIRECT(INDEX($J$4,0) &amp; "!$A$2:$A$6"),0))</f>
        <v>Redundant</v>
      </c>
      <c r="AH2" s="13" t="s">
        <v>11</v>
      </c>
      <c r="AI2" s="13" t="s">
        <v>12</v>
      </c>
      <c r="AJ2" s="13" t="s">
        <v>13</v>
      </c>
      <c r="AK2" s="13" t="s">
        <v>14</v>
      </c>
      <c r="AL2" s="5"/>
      <c r="AM2" s="5"/>
    </row>
    <row r="3">
      <c r="A3" s="1"/>
      <c r="B3" s="15" t="s">
        <v>15</v>
      </c>
      <c r="F3" s="4"/>
      <c r="G3" s="8" t="s">
        <v>16</v>
      </c>
      <c r="K3" s="5"/>
      <c r="L3" s="16">
        <v>1.0</v>
      </c>
      <c r="P3" s="5"/>
      <c r="Q3" s="5"/>
      <c r="R3" s="5"/>
      <c r="S3" s="5"/>
      <c r="T3" s="5"/>
      <c r="U3" s="16">
        <v>1.0</v>
      </c>
      <c r="Z3" s="5"/>
      <c r="AA3" s="16">
        <v>1.0</v>
      </c>
      <c r="AF3" s="5"/>
      <c r="AG3" s="16">
        <v>1.0</v>
      </c>
      <c r="AM3" s="5"/>
    </row>
    <row r="4">
      <c r="A4" s="1" t="s">
        <v>17</v>
      </c>
      <c r="B4" s="17">
        <f t="array" ref="B4">IFERROR(INDEX(INDIRECT(INDEX($G$4,0) &amp; "!$D$8"),0))</f>
        <v>0.6666666667</v>
      </c>
      <c r="C4" s="17">
        <f t="array" ref="C4">IFERROR(INDEX(INDIRECT(INDEX($H$4,0) &amp; "!$D$8"),0))</f>
        <v>0.8666666667</v>
      </c>
      <c r="D4" s="17">
        <f t="array" ref="D4">IFERROR(INDEX(INDIRECT(INDEX($I$4,0) &amp; "!$D$8"),0))</f>
        <v>0.7916666667</v>
      </c>
      <c r="E4" s="17">
        <f t="array" ref="E4">INDEX(INDIRECT(INDEX($J$4,0) &amp; "!$D$8"),0)</f>
        <v>0.7692307692</v>
      </c>
      <c r="F4" s="4"/>
      <c r="G4" s="18" t="s">
        <v>18</v>
      </c>
      <c r="H4" s="18" t="s">
        <v>19</v>
      </c>
      <c r="I4" s="18" t="s">
        <v>20</v>
      </c>
      <c r="J4" s="19" t="s">
        <v>21</v>
      </c>
      <c r="L4" s="17">
        <f t="array" ref="L4">INDEX(INDIRECT(INDEX($J$4,0) &amp; "!$D$14"),0)</f>
        <v>0.6667</v>
      </c>
      <c r="M4" s="17">
        <f t="array" ref="M4">INDEX(INDIRECT(INDEX($J$4,0) &amp; "!$D$15"),0)</f>
        <v>0.6667</v>
      </c>
      <c r="N4" s="17">
        <f t="array" ref="N4">INDEX(INDIRECT(INDEX($J$4,0) &amp; "!$D$16"),0)</f>
        <v>0.75</v>
      </c>
      <c r="O4" s="17">
        <f t="array" ref="O4">INDEX(INDIRECT(INDEX($J$4,0) &amp; "!$D$17"),0)</f>
        <v>0.5</v>
      </c>
      <c r="P4" s="20">
        <f t="array" ref="P4">SUM(L4:O4*U4:X4)/Y4</f>
        <v>0.6428714286</v>
      </c>
      <c r="Q4" s="21">
        <f t="array" ref="Q4">SUM(L4:N4*U4:W4)/SUM(U4:W4)</f>
        <v>0.70002</v>
      </c>
      <c r="R4" s="17">
        <f t="shared" ref="R4:R9" si="1">(L4*U4+M4*V4+O4*X4)/(U4+V4+X4)</f>
        <v>0.60002</v>
      </c>
      <c r="S4" s="21">
        <f t="array" ref="S4">SUM(L4:M4*U4:V4)/SUM(U4:V4)</f>
        <v>0.6667</v>
      </c>
      <c r="T4" s="22"/>
      <c r="U4" s="23">
        <f t="array" ref="U4">INDEX(INDIRECT(INDEX($J$4,0) &amp; "!$C$14"),0)</f>
        <v>3</v>
      </c>
      <c r="V4" s="23">
        <f t="array" ref="V4">INDEX(INDIRECT(INDEX($J$4,0) &amp; "!$C$15"),0)</f>
        <v>3</v>
      </c>
      <c r="W4" s="23">
        <f t="array" ref="W4">INDEX(INDIRECT(INDEX($J$4,0) &amp; "!$C$16"),0)</f>
        <v>4</v>
      </c>
      <c r="X4" s="23">
        <f t="array" ref="X4">INDEX(INDIRECT(INDEX($J$4,0) &amp; "!$C$17"),0)</f>
        <v>4</v>
      </c>
      <c r="Y4" s="24">
        <f t="shared" ref="Y4:Y10" si="2">SUM(U4:X4)</f>
        <v>14</v>
      </c>
      <c r="AA4" s="17">
        <f t="array" ref="AA4">INDEX(INDIRECT(INDEX($J$4,0) &amp; "!$D$2"),0)</f>
        <v>0.02564102564</v>
      </c>
      <c r="AB4" s="17">
        <f t="array" ref="AB4">INDEX(INDIRECT(INDEX($J$4,0) &amp; "!$D$3"),0)</f>
        <v>0.07692307692</v>
      </c>
      <c r="AC4" s="17">
        <f t="array" ref="AC4">INDEX(INDIRECT(INDEX($J$4,0) &amp; "!$D$4"),0)</f>
        <v>0.1282051282</v>
      </c>
      <c r="AD4" s="17">
        <f t="array" ref="AD4">INDEX(INDIRECT(INDEX($J$4,0) &amp; "!$D$5"),0)</f>
        <v>0.2051282051</v>
      </c>
      <c r="AE4" s="17">
        <f t="array" ref="AE4">INDEX(INDIRECT(INDEX($J$4,0) &amp; "!$D$6"),0)</f>
        <v>0.5641025641</v>
      </c>
      <c r="AG4" s="25">
        <f t="array" ref="AG4">INDEX(INDIRECT(INDEX($J$4,0) &amp; "!$C$2"),0)</f>
        <v>1</v>
      </c>
      <c r="AH4" s="25">
        <f t="array" ref="AH4">INDEX(INDIRECT(INDEX($J$4,0) &amp; "!$C$3"),0)</f>
        <v>3</v>
      </c>
      <c r="AI4" s="25">
        <f t="array" ref="AI4">INDEX(INDIRECT(INDEX($J$4,0) &amp; "!$C$4"),0)</f>
        <v>5</v>
      </c>
      <c r="AJ4" s="25">
        <f t="array" ref="AJ4">INDEX(INDIRECT(INDEX($J$4,0) &amp; "!$C$5"),0)</f>
        <v>8</v>
      </c>
      <c r="AK4" s="25">
        <f t="array" ref="AK4">INDEX(INDIRECT(INDEX($J$4,0) &amp; "!$C$6"),0)</f>
        <v>22</v>
      </c>
      <c r="AL4" s="26">
        <f t="shared" ref="AL4:AL10" si="3">SUM(AG4:AK4)</f>
        <v>39</v>
      </c>
    </row>
    <row r="5">
      <c r="A5" s="1" t="s">
        <v>22</v>
      </c>
      <c r="B5" s="17">
        <f t="array" ref="B5">IFERROR(INDEX(INDIRECT(INDEX($G$5,0) &amp; "!$D$8"),0))</f>
        <v>0.6666666667</v>
      </c>
      <c r="C5" s="17">
        <f t="array" ref="C5">IFERROR(INDEX(INDIRECT(INDEX($H$5,0) &amp; "!$D$8"),0))</f>
        <v>0.6666666667</v>
      </c>
      <c r="D5" s="17">
        <f t="array" ref="D5">IFERROR(INDEX(INDIRECT(INDEX($I$5,0) &amp; "!$D$8"),0))</f>
        <v>0.5357142857</v>
      </c>
      <c r="E5" s="17">
        <f t="array" ref="E5">INDEX(INDIRECT(INDEX($J$5,0) &amp; "!$D$8"),0)</f>
        <v>0.6667</v>
      </c>
      <c r="F5" s="4"/>
      <c r="G5" s="18" t="s">
        <v>23</v>
      </c>
      <c r="H5" s="18" t="s">
        <v>24</v>
      </c>
      <c r="I5" s="18" t="s">
        <v>25</v>
      </c>
      <c r="J5" s="19" t="s">
        <v>26</v>
      </c>
      <c r="K5" s="21"/>
      <c r="L5" s="17">
        <f t="array" ref="L5">INDEX(INDIRECT(INDEX($J$5,0) &amp; "!$D$14"),0)</f>
        <v>1</v>
      </c>
      <c r="M5" s="17">
        <f t="array" ref="M5">INDEX(INDIRECT(INDEX($J$5,0) &amp; "!$D$15"),0)</f>
        <v>0</v>
      </c>
      <c r="N5" s="17">
        <f t="array" ref="N5">INDEX(INDIRECT(INDEX($J$5,0) &amp; "!$D$16"),0)</f>
        <v>0.25</v>
      </c>
      <c r="O5" s="17">
        <f t="array" ref="O5">INDEX(INDIRECT(INDEX($J$5,0) &amp; "!$D$17"),0)</f>
        <v>0.5556</v>
      </c>
      <c r="P5" s="20">
        <f t="array" ref="P5">SUM(L5:O5*U5:X5)/Y5</f>
        <v>0.5000222222</v>
      </c>
      <c r="Q5" s="21">
        <f t="array" ref="Q5">SUM(L5:N5*U5:W5)/SUM(U5:W5)</f>
        <v>0.4444444444</v>
      </c>
      <c r="R5" s="17">
        <f t="shared" si="1"/>
        <v>0.5714571429</v>
      </c>
      <c r="S5" s="21">
        <f t="array" ref="S5">SUM(L5:M5*U5:V5)/SUM(U5:V5)</f>
        <v>0.6</v>
      </c>
      <c r="T5" s="27"/>
      <c r="U5" s="23">
        <f t="array" ref="U5">INDEX(INDIRECT(INDEX($J$5,0) &amp; "!$C$14"),0)</f>
        <v>3</v>
      </c>
      <c r="V5" s="23">
        <f t="array" ref="V5">INDEX(INDIRECT(INDEX($J$5,0) &amp; "!$C$15"),0)</f>
        <v>2</v>
      </c>
      <c r="W5" s="23">
        <f t="array" ref="W5">INDEX(INDIRECT(INDEX($J$5,0) &amp; "!$C$16"),0)</f>
        <v>4</v>
      </c>
      <c r="X5" s="23">
        <f t="array" ref="X5">INDEX(INDIRECT(INDEX($J$5,0) &amp; "!$C$17"),0)</f>
        <v>9</v>
      </c>
      <c r="Y5" s="24">
        <f t="shared" si="2"/>
        <v>18</v>
      </c>
      <c r="Z5" s="21"/>
      <c r="AA5" s="17">
        <f t="array" ref="AA5">INDEX(INDIRECT(INDEX($J$5,0) &amp; "!$D$2"),0)</f>
        <v>0</v>
      </c>
      <c r="AB5" s="17">
        <f t="array" ref="AB5">INDEX(INDIRECT(INDEX($J$5,0) &amp; "!$D$3"),0)</f>
        <v>0.0833</v>
      </c>
      <c r="AC5" s="17">
        <f t="array" ref="AC5">INDEX(INDIRECT(INDEX($J$5,0) &amp; "!$D$4"),0)</f>
        <v>0.25</v>
      </c>
      <c r="AD5" s="17">
        <f t="array" ref="AD5">INDEX(INDIRECT(INDEX($J$5,0) &amp; "!$D$5"),0)</f>
        <v>0.1944</v>
      </c>
      <c r="AE5" s="17">
        <f t="array" ref="AE5">INDEX(INDIRECT(INDEX($J$5,0) &amp; "!$D$6"),0)</f>
        <v>0.4722</v>
      </c>
      <c r="AG5" s="25">
        <f t="array" ref="AG5">INDEX(INDIRECT(INDEX($J$5,0) &amp; "!$C$2"),0)</f>
        <v>0</v>
      </c>
      <c r="AH5" s="25">
        <f t="array" ref="AH5">INDEX(INDIRECT(INDEX($J$5,0) &amp; "!$C$3"),0)</f>
        <v>3</v>
      </c>
      <c r="AI5" s="25">
        <f t="array" ref="AI5">INDEX(INDIRECT(INDEX($J$5,0) &amp; "!$C$4"),0)</f>
        <v>9</v>
      </c>
      <c r="AJ5" s="25">
        <f t="array" ref="AJ5">INDEX(INDIRECT(INDEX($J$5,0) &amp; "!$C$5"),0)</f>
        <v>7</v>
      </c>
      <c r="AK5" s="25">
        <f t="array" ref="AK5">INDEX(INDIRECT(INDEX($J$5,0) &amp; "!$C$6"),0)</f>
        <v>17</v>
      </c>
      <c r="AL5" s="26">
        <f t="shared" si="3"/>
        <v>36</v>
      </c>
    </row>
    <row r="6">
      <c r="A6" s="1" t="s">
        <v>27</v>
      </c>
      <c r="B6" s="17">
        <f t="array" ref="B6">IFERROR(INDEX(INDIRECT(INDEX($G$6,0) &amp; "!$D$8"),0))</f>
        <v>0.72</v>
      </c>
      <c r="C6" s="17">
        <f t="array" ref="C6">IFERROR(INDEX(INDIRECT(INDEX($H$6,0) &amp; "!$D$8"),0))</f>
        <v>0.724137931</v>
      </c>
      <c r="D6" s="17">
        <f t="array" ref="D6">IFERROR(INDEX(INDIRECT(INDEX($I$6,0) &amp; "!$D$8"),0))</f>
        <v>0.7</v>
      </c>
      <c r="E6" s="17">
        <f t="array" ref="E6">INDEX(INDIRECT(INDEX($J$6,0) &amp; "!$D$8"),0)</f>
        <v>0.75</v>
      </c>
      <c r="F6" s="4"/>
      <c r="G6" s="18" t="s">
        <v>28</v>
      </c>
      <c r="H6" s="18" t="s">
        <v>29</v>
      </c>
      <c r="I6" s="18" t="s">
        <v>30</v>
      </c>
      <c r="J6" s="19" t="s">
        <v>31</v>
      </c>
      <c r="K6" s="21"/>
      <c r="L6" s="17">
        <f t="array" ref="L6">INDEX(INDIRECT(INDEX($J$6,0) &amp; "!$D$14"),0)</f>
        <v>1</v>
      </c>
      <c r="M6" s="17">
        <f t="array" ref="M6">INDEX(INDIRECT(INDEX($J$6,0) &amp; "!$D$15"),0)</f>
        <v>1</v>
      </c>
      <c r="N6" s="17">
        <f t="array" ref="N6">INDEX(INDIRECT(INDEX($J$6,0) &amp; "!$D$16"),0)</f>
        <v>0.75</v>
      </c>
      <c r="O6" s="17">
        <f t="array" ref="O6">INDEX(INDIRECT(INDEX($J$6,0) &amp; "!$D$17"),0)</f>
        <v>0.375</v>
      </c>
      <c r="P6" s="20">
        <f t="array" ref="P6">SUM(L6:O6*U6:X6)/Y6</f>
        <v>0.6666666667</v>
      </c>
      <c r="Q6" s="21">
        <f t="array" ref="Q6">SUM(L6:N6*U6:W6)/SUM(U6:W6)</f>
        <v>0.9</v>
      </c>
      <c r="R6" s="17">
        <f t="shared" si="1"/>
        <v>0.6428571429</v>
      </c>
      <c r="S6" s="21">
        <f t="array" ref="S6">SUM(L6:M6*U6:V6)/SUM(U6:V6)</f>
        <v>1</v>
      </c>
      <c r="T6" s="27"/>
      <c r="U6" s="23">
        <f t="array" ref="U6">INDEX(INDIRECT(INDEX($J$6,0) &amp; "!$C$14"),0)</f>
        <v>3</v>
      </c>
      <c r="V6" s="23">
        <f t="array" ref="V6">INDEX(INDIRECT(INDEX($J$6,0) &amp; "!$C$15"),0)</f>
        <v>3</v>
      </c>
      <c r="W6" s="23">
        <f t="array" ref="W6">INDEX(INDIRECT(INDEX($J$6,0) &amp; "!$C$16"),0)</f>
        <v>4</v>
      </c>
      <c r="X6" s="23">
        <f t="array" ref="X6">INDEX(INDIRECT(INDEX($J$6,0) &amp; "!$C$17"),0)</f>
        <v>8</v>
      </c>
      <c r="Y6" s="24">
        <f t="shared" si="2"/>
        <v>18</v>
      </c>
      <c r="Z6" s="21"/>
      <c r="AA6" s="17">
        <f t="array" ref="AA6">INDEX(INDIRECT(INDEX($J$6,0) &amp; "!$D$2"),0)</f>
        <v>0</v>
      </c>
      <c r="AB6" s="17">
        <f t="array" ref="AB6">INDEX(INDIRECT(INDEX($J$6,0) &amp; "!$D$3"),0)</f>
        <v>0.0625</v>
      </c>
      <c r="AC6" s="17">
        <f t="array" ref="AC6">INDEX(INDIRECT(INDEX($J$6,0) &amp; "!$D$4"),0)</f>
        <v>0.1875</v>
      </c>
      <c r="AD6" s="17">
        <f t="array" ref="AD6">INDEX(INDIRECT(INDEX($J$6,0) &amp; "!$D$5"),0)</f>
        <v>0.3438</v>
      </c>
      <c r="AE6" s="17">
        <f t="array" ref="AE6">INDEX(INDIRECT(INDEX($J$6,0) &amp; "!$D$6"),0)</f>
        <v>0.4063</v>
      </c>
      <c r="AG6" s="25">
        <f t="array" ref="AG6">INDEX(INDIRECT(INDEX($J$6,0) &amp; "!$C$2"),0)</f>
        <v>0</v>
      </c>
      <c r="AH6" s="25">
        <f t="array" ref="AH6">INDEX(INDIRECT(INDEX($J$6,0) &amp; "!$C$3"),0)</f>
        <v>2</v>
      </c>
      <c r="AI6" s="25">
        <f t="array" ref="AI6">INDEX(INDIRECT(INDEX($J$6,0) &amp; "!$C$4"),0)</f>
        <v>6</v>
      </c>
      <c r="AJ6" s="25">
        <f t="array" ref="AJ6">INDEX(INDIRECT(INDEX($J$6,0) &amp; "!$C$5"),0)</f>
        <v>11</v>
      </c>
      <c r="AK6" s="25">
        <f t="array" ref="AK6">INDEX(INDIRECT(INDEX($J$6,0) &amp; "!$C$6"),0)</f>
        <v>13</v>
      </c>
      <c r="AL6" s="26">
        <f t="shared" si="3"/>
        <v>32</v>
      </c>
    </row>
    <row r="7">
      <c r="A7" s="1" t="s">
        <v>32</v>
      </c>
      <c r="B7" s="17">
        <f t="array" ref="B7">IFERROR(INDEX(INDIRECT(INDEX($G$7,0) &amp; "!$D$8"),0))</f>
        <v>0.6052631579</v>
      </c>
      <c r="C7" s="17">
        <f t="array" ref="C7">IFERROR(INDEX(INDIRECT(INDEX($H$7,0) &amp; "!$D$8"),0))</f>
        <v>0.7916666667</v>
      </c>
      <c r="D7" s="17">
        <f t="array" ref="D7">IFERROR(INDEX(INDIRECT(INDEX($I$7,0) &amp; "!$D$8"),0))</f>
        <v>0.6666666667</v>
      </c>
      <c r="E7" s="17">
        <f t="array" ref="E7">INDEX(INDIRECT(INDEX($J$7,0) &amp; "!$D$8"),0)</f>
        <v>0.7142857143</v>
      </c>
      <c r="F7" s="4"/>
      <c r="G7" s="18" t="s">
        <v>33</v>
      </c>
      <c r="H7" s="18" t="s">
        <v>34</v>
      </c>
      <c r="I7" s="18" t="s">
        <v>35</v>
      </c>
      <c r="J7" s="19" t="s">
        <v>36</v>
      </c>
      <c r="K7" s="21"/>
      <c r="L7" s="17">
        <f t="array" ref="L7">INDEX(INDIRECT(INDEX($J$7,0) &amp; "!$D$14"),0)</f>
        <v>1</v>
      </c>
      <c r="M7" s="17">
        <f t="array" ref="M7">INDEX(INDIRECT(INDEX($J$7,0) &amp; "!$D$15"),0)</f>
        <v>0.4285714286</v>
      </c>
      <c r="N7" s="17">
        <f t="array" ref="N7">INDEX(INDIRECT(INDEX($J$7,0) &amp; "!$D$16"),0)</f>
        <v>0.5</v>
      </c>
      <c r="O7" s="17">
        <f t="array" ref="O7">INDEX(INDIRECT(INDEX($J$7,0) &amp; "!$D$17"),0)</f>
        <v>0.2222222222</v>
      </c>
      <c r="P7" s="20">
        <f t="array" ref="P7">SUM(L7:O7*U7:X7)/Y7</f>
        <v>0.4347826087</v>
      </c>
      <c r="Q7" s="21">
        <f t="array" ref="Q7">SUM(L7:N7*U7:W7)/SUM(U7:W7)</f>
        <v>0.5714285714</v>
      </c>
      <c r="R7" s="17">
        <f t="shared" si="1"/>
        <v>0.4210526316</v>
      </c>
      <c r="S7" s="21">
        <f t="array" ref="S7">SUM(L7:M7*U7:V7)/SUM(U7:V7)</f>
        <v>0.6</v>
      </c>
      <c r="T7" s="27"/>
      <c r="U7" s="23">
        <f t="array" ref="U7">INDEX(INDIRECT(INDEX($J$7,0) &amp; "!$C$14"),0)</f>
        <v>3</v>
      </c>
      <c r="V7" s="23">
        <f t="array" ref="V7">INDEX(INDIRECT(INDEX($J$7,0) &amp; "!$C$15"),0)</f>
        <v>7</v>
      </c>
      <c r="W7" s="23">
        <f t="array" ref="W7">INDEX(INDIRECT(INDEX($J$7,0) &amp; "!$C$16"),0)</f>
        <v>4</v>
      </c>
      <c r="X7" s="23">
        <f t="array" ref="X7">INDEX(INDIRECT(INDEX($J$7,0) &amp; "!$C$17"),0)</f>
        <v>9</v>
      </c>
      <c r="Y7" s="24">
        <f t="shared" si="2"/>
        <v>23</v>
      </c>
      <c r="Z7" s="21"/>
      <c r="AA7" s="17">
        <f t="array" ref="AA7">INDEX(INDIRECT(INDEX($J$7,0) &amp; "!$D$2"),0)</f>
        <v>0.1142857143</v>
      </c>
      <c r="AB7" s="17">
        <f t="array" ref="AB7">INDEX(INDIRECT(INDEX($J$7,0) &amp; "!$D$3"),0)</f>
        <v>0.02857142857</v>
      </c>
      <c r="AC7" s="17">
        <f t="array" ref="AC7">INDEX(INDIRECT(INDEX($J$7,0) &amp; "!$D$4"),0)</f>
        <v>0.1428571429</v>
      </c>
      <c r="AD7" s="17">
        <f t="array" ref="AD7">INDEX(INDIRECT(INDEX($J$7,0) &amp; "!$D$5"),0)</f>
        <v>0.2857142857</v>
      </c>
      <c r="AE7" s="17">
        <f t="array" ref="AE7">INDEX(INDIRECT(INDEX($J$7,0) &amp; "!$D$6"),0)</f>
        <v>0.4285714286</v>
      </c>
      <c r="AG7" s="25">
        <f t="array" ref="AG7">INDEX(INDIRECT(INDEX($J$7,0) &amp; "!$C$2"),0)</f>
        <v>4</v>
      </c>
      <c r="AH7" s="25">
        <f t="array" ref="AH7">INDEX(INDIRECT(INDEX($J$7,0) &amp; "!$C$3"),0)</f>
        <v>1</v>
      </c>
      <c r="AI7" s="25">
        <f t="array" ref="AI7">INDEX(INDIRECT(INDEX($J$7,0) &amp; "!$C$4"),0)</f>
        <v>5</v>
      </c>
      <c r="AJ7" s="25">
        <f t="array" ref="AJ7">INDEX(INDIRECT(INDEX($J$7,0) &amp; "!$C$5"),0)</f>
        <v>10</v>
      </c>
      <c r="AK7" s="25">
        <f t="array" ref="AK7">INDEX(INDIRECT(INDEX($J$7,0) &amp; "!$C$6"),0)</f>
        <v>15</v>
      </c>
      <c r="AL7" s="26">
        <f t="shared" si="3"/>
        <v>35</v>
      </c>
    </row>
    <row r="8">
      <c r="A8" s="1" t="s">
        <v>37</v>
      </c>
      <c r="B8" s="17">
        <f t="array" ref="B8">IFERROR(INDEX(INDIRECT(INDEX($G$8,0) &amp; "!$D$8"),0))</f>
        <v>0.6</v>
      </c>
      <c r="C8" s="17">
        <f t="array" ref="C8">IFERROR(INDEX(INDIRECT(INDEX($H$8,0) &amp; "!$D$8"),0))</f>
        <v>0.5185185185</v>
      </c>
      <c r="D8" s="17">
        <f t="array" ref="D8">IFERROR(INDEX(INDIRECT(INDEX($I$8,0) &amp; "!$D$8"),0))</f>
        <v>0.5833333333</v>
      </c>
      <c r="E8" s="17">
        <f t="array" ref="E8">INDEX(INDIRECT(INDEX($J$8,0) &amp; "!$D$8"),0)</f>
        <v>0.7083333333</v>
      </c>
      <c r="F8" s="4"/>
      <c r="G8" s="18" t="s">
        <v>38</v>
      </c>
      <c r="H8" s="18" t="s">
        <v>39</v>
      </c>
      <c r="I8" s="18" t="s">
        <v>40</v>
      </c>
      <c r="J8" s="19" t="s">
        <v>41</v>
      </c>
      <c r="K8" s="21"/>
      <c r="L8" s="17">
        <f t="array" ref="L8">INDEX(INDIRECT(INDEX($J$8,0) &amp; "!$D$14"),0)</f>
        <v>1</v>
      </c>
      <c r="M8" s="17">
        <f t="array" ref="M8">INDEX(INDIRECT(INDEX($J$8,0) &amp; "!$D$15"),0)</f>
        <v>0</v>
      </c>
      <c r="N8" s="17">
        <f t="array" ref="N8">INDEX(INDIRECT(INDEX($J$8,0) &amp; "!$D$16"),0)</f>
        <v>0.5</v>
      </c>
      <c r="O8" s="17">
        <f t="array" ref="O8">INDEX(INDIRECT(INDEX($J$8,0) &amp; "!$D$17"),0)</f>
        <v>0.6</v>
      </c>
      <c r="P8" s="20">
        <f t="array" ref="P8">SUM(L8:O8*U8:X8)/Y8</f>
        <v>0.625</v>
      </c>
      <c r="Q8" s="21">
        <f t="array" ref="Q8">SUM(L8:N8*U8:W8)/SUM(U8:W8)</f>
        <v>0.6666666667</v>
      </c>
      <c r="R8" s="17">
        <f t="shared" si="1"/>
        <v>0.6666666667</v>
      </c>
      <c r="S8" s="21">
        <f t="array" ref="S8">SUM(L8:M8*U8:V8)/SUM(U8:V8)</f>
        <v>1</v>
      </c>
      <c r="T8" s="27"/>
      <c r="U8" s="23">
        <f t="array" ref="U8">INDEX(INDIRECT(INDEX($J$8,0) &amp; "!$C$14"),0)</f>
        <v>2</v>
      </c>
      <c r="V8" s="23">
        <f t="array" ref="V8">INDEX(INDIRECT(INDEX($J$8,0) &amp; "!$C$15"),0)</f>
        <v>0</v>
      </c>
      <c r="W8" s="23">
        <f t="array" ref="W8">INDEX(INDIRECT(INDEX($J$8,0) &amp; "!$C$16"),0)</f>
        <v>4</v>
      </c>
      <c r="X8" s="23">
        <f t="array" ref="X8">INDEX(INDIRECT(INDEX($J$8,0) &amp; "!$C$17"),0)</f>
        <v>10</v>
      </c>
      <c r="Y8" s="24">
        <f t="shared" si="2"/>
        <v>16</v>
      </c>
      <c r="Z8" s="21"/>
      <c r="AA8" s="17">
        <f t="array" ref="AA8">INDEX(INDIRECT(INDEX($J$8,0) &amp; "!$D$2"),0)</f>
        <v>0.08333333333</v>
      </c>
      <c r="AB8" s="17">
        <f t="array" ref="AB8">INDEX(INDIRECT(INDEX($J$8,0) &amp; "!$D$3"),0)</f>
        <v>0.04166666667</v>
      </c>
      <c r="AC8" s="17">
        <f t="array" ref="AC8">INDEX(INDIRECT(INDEX($J$8,0) &amp; "!$D$4"),0)</f>
        <v>0.1666666667</v>
      </c>
      <c r="AD8" s="17">
        <f t="array" ref="AD8">INDEX(INDIRECT(INDEX($J$8,0) &amp; "!$D$5"),0)</f>
        <v>0.2916666667</v>
      </c>
      <c r="AE8" s="17">
        <f t="array" ref="AE8">INDEX(INDIRECT(INDEX($J$8,0) &amp; "!$D$6"),0)</f>
        <v>0.4166666667</v>
      </c>
      <c r="AG8" s="25">
        <f t="array" ref="AG8">INDEX(INDIRECT(INDEX($J$8,0) &amp; "!$C$2"),0)</f>
        <v>2</v>
      </c>
      <c r="AH8" s="25">
        <f t="array" ref="AH8">INDEX(INDIRECT(INDEX($J$8,0) &amp; "!$C$3"),0)</f>
        <v>1</v>
      </c>
      <c r="AI8" s="25">
        <f t="array" ref="AI8">INDEX(INDIRECT(INDEX($J$8,0) &amp; "!$C$4"),0)</f>
        <v>4</v>
      </c>
      <c r="AJ8" s="25">
        <f t="array" ref="AJ8">INDEX(INDIRECT(INDEX($J$8,0) &amp; "!$C$5"),0)</f>
        <v>7</v>
      </c>
      <c r="AK8" s="25">
        <f t="array" ref="AK8">INDEX(INDIRECT(INDEX($J$8,0) &amp; "!$C$6"),0)</f>
        <v>10</v>
      </c>
      <c r="AL8" s="26">
        <f t="shared" si="3"/>
        <v>24</v>
      </c>
    </row>
    <row r="9">
      <c r="A9" s="1" t="s">
        <v>42</v>
      </c>
      <c r="B9" s="17">
        <f t="array" ref="B9">IFERROR(INDEX(INDIRECT(INDEX($G$9,0) &amp; "!$D$8"),0))</f>
        <v>0.4736842105</v>
      </c>
      <c r="C9" s="17">
        <f t="array" ref="C9">IFERROR(INDEX(INDIRECT(INDEX($H$9,0) &amp; "!$D$8"),0))</f>
        <v>0.6</v>
      </c>
      <c r="D9" s="17">
        <f t="array" ref="D9">IFERROR(INDEX(INDIRECT(INDEX($I$9,0) &amp; "!$D$8"),0))</f>
        <v>0.6538461538</v>
      </c>
      <c r="E9" s="17">
        <f t="array" ref="E9">INDEX(INDIRECT(INDEX($J$9,0) &amp; "!$D$8"),0)</f>
        <v>0.6756756757</v>
      </c>
      <c r="F9" s="4"/>
      <c r="G9" s="18" t="s">
        <v>43</v>
      </c>
      <c r="H9" s="18" t="s">
        <v>44</v>
      </c>
      <c r="I9" s="18" t="s">
        <v>45</v>
      </c>
      <c r="J9" s="19" t="s">
        <v>46</v>
      </c>
      <c r="K9" s="21"/>
      <c r="L9" s="17">
        <f t="array" ref="L9">INDEX(INDIRECT(INDEX($J$9,0) &amp; "!$D$14"),0)</f>
        <v>1</v>
      </c>
      <c r="M9" s="17">
        <f t="array" ref="M9">INDEX(INDIRECT(INDEX($J$9,0) &amp; "!$D$15"),0)</f>
        <v>0.5</v>
      </c>
      <c r="N9" s="17">
        <f t="array" ref="N9">INDEX(INDIRECT(INDEX($J$9,0) &amp; "!$D$16"),0)</f>
        <v>0.5</v>
      </c>
      <c r="O9" s="17">
        <f t="array" ref="O9">INDEX(INDIRECT(INDEX($J$9,0) &amp; "!$D$17"),0)</f>
        <v>0.5714285714</v>
      </c>
      <c r="P9" s="20">
        <f t="array" ref="P9">SUM(L9:O9*U9:X9)/Y9</f>
        <v>0.6</v>
      </c>
      <c r="Q9" s="21">
        <f t="array" ref="Q9">SUM(L9:N9*U9:W9)/SUM(U9:W9)</f>
        <v>0.625</v>
      </c>
      <c r="R9" s="17">
        <f t="shared" si="1"/>
        <v>0.6363636364</v>
      </c>
      <c r="S9" s="21">
        <f t="array" ref="S9">SUM(L9:M9*U9:V9)/SUM(U9:V9)</f>
        <v>0.75</v>
      </c>
      <c r="T9" s="27"/>
      <c r="U9" s="23">
        <f t="array" ref="U9">INDEX(INDIRECT(INDEX($J$9,0) &amp; "!$C$14"),0)</f>
        <v>2</v>
      </c>
      <c r="V9" s="23">
        <f t="array" ref="V9">INDEX(INDIRECT(INDEX($J$9,0) &amp; "!$C$15"),0)</f>
        <v>2</v>
      </c>
      <c r="W9" s="23">
        <f t="array" ref="W9">INDEX(INDIRECT(INDEX($J$9,0) &amp; "!$C$16"),0)</f>
        <v>4</v>
      </c>
      <c r="X9" s="23">
        <f t="array" ref="X9">INDEX(INDIRECT(INDEX($J$9,0) &amp; "!$C$17"),0)</f>
        <v>7</v>
      </c>
      <c r="Y9" s="24">
        <f t="shared" si="2"/>
        <v>15</v>
      </c>
      <c r="Z9" s="21"/>
      <c r="AA9" s="17">
        <f t="array" ref="AA9">INDEX(INDIRECT(INDEX($J$9,0) &amp; "!$D$2"),0)</f>
        <v>0.05405405405</v>
      </c>
      <c r="AB9" s="17">
        <f t="array" ref="AB9">INDEX(INDIRECT(INDEX($J$9,0) &amp; "!$D$3"),0)</f>
        <v>0.1081081081</v>
      </c>
      <c r="AC9" s="17">
        <f t="array" ref="AC9">INDEX(INDIRECT(INDEX($J$9,0) &amp; "!$D$4"),0)</f>
        <v>0.1621621622</v>
      </c>
      <c r="AD9" s="17">
        <f t="array" ref="AD9">INDEX(INDIRECT(INDEX($J$9,0) &amp; "!$D$5"),0)</f>
        <v>0.2432432432</v>
      </c>
      <c r="AE9" s="17">
        <f t="array" ref="AE9">INDEX(INDIRECT(INDEX($J$9,0) &amp; "!$D$6"),0)</f>
        <v>0.4324324324</v>
      </c>
      <c r="AG9" s="25">
        <f t="array" ref="AG9">INDEX(INDIRECT(INDEX($J$9,0) &amp; "!$C$2"),0)</f>
        <v>2</v>
      </c>
      <c r="AH9" s="25">
        <f t="array" ref="AH9">INDEX(INDIRECT(INDEX($J$9,0) &amp; "!$C$3"),0)</f>
        <v>4</v>
      </c>
      <c r="AI9" s="25">
        <f t="array" ref="AI9">INDEX(INDIRECT(INDEX($J$9,0) &amp; "!$C$4"),0)</f>
        <v>6</v>
      </c>
      <c r="AJ9" s="25">
        <f t="array" ref="AJ9">INDEX(INDIRECT(INDEX($J$9,0) &amp; "!$C$5"),0)</f>
        <v>9</v>
      </c>
      <c r="AK9" s="25">
        <f t="array" ref="AK9">INDEX(INDIRECT(INDEX($J$9,0) &amp; "!$C$6"),0)</f>
        <v>16</v>
      </c>
      <c r="AL9" s="26">
        <f t="shared" si="3"/>
        <v>37</v>
      </c>
    </row>
    <row r="10">
      <c r="A10" s="28" t="s">
        <v>47</v>
      </c>
      <c r="B10" s="29">
        <f t="shared" ref="B10:E10" si="4">AVERAGE(B$4:B9)</f>
        <v>0.6220467836</v>
      </c>
      <c r="C10" s="29">
        <f t="shared" si="4"/>
        <v>0.6946094083</v>
      </c>
      <c r="D10" s="29">
        <f t="shared" si="4"/>
        <v>0.6552045177</v>
      </c>
      <c r="E10" s="29">
        <f t="shared" si="4"/>
        <v>0.7140375821</v>
      </c>
      <c r="F10" s="4"/>
      <c r="G10" s="5"/>
      <c r="J10" s="30"/>
      <c r="K10" s="21"/>
      <c r="L10" s="29">
        <f t="shared" ref="L10:S10" si="5">AVERAGE(L4:L9)</f>
        <v>0.94445</v>
      </c>
      <c r="M10" s="31">
        <f t="shared" si="5"/>
        <v>0.4325452381</v>
      </c>
      <c r="N10" s="29">
        <f t="shared" si="5"/>
        <v>0.5416666667</v>
      </c>
      <c r="O10" s="31">
        <f t="shared" si="5"/>
        <v>0.4707084656</v>
      </c>
      <c r="P10" s="32">
        <f t="shared" si="5"/>
        <v>0.578223821</v>
      </c>
      <c r="Q10" s="29">
        <f t="shared" si="5"/>
        <v>0.6512599471</v>
      </c>
      <c r="R10" s="31">
        <f t="shared" si="5"/>
        <v>0.5897362034</v>
      </c>
      <c r="S10" s="29">
        <f t="shared" si="5"/>
        <v>0.76945</v>
      </c>
      <c r="T10" s="33" t="s">
        <v>48</v>
      </c>
      <c r="U10" s="34">
        <f t="shared" ref="U10:X10" si="6">SUM(U4:U9)</f>
        <v>16</v>
      </c>
      <c r="V10" s="34">
        <f t="shared" si="6"/>
        <v>17</v>
      </c>
      <c r="W10" s="34">
        <f t="shared" si="6"/>
        <v>24</v>
      </c>
      <c r="X10" s="34">
        <f t="shared" si="6"/>
        <v>47</v>
      </c>
      <c r="Y10" s="35">
        <f t="shared" si="2"/>
        <v>104</v>
      </c>
      <c r="Z10" s="21"/>
      <c r="AA10" s="29">
        <f t="shared" ref="AA10:AE10" si="7">AVERAGE(AA4:AA9)</f>
        <v>0.04621902122</v>
      </c>
      <c r="AB10" s="31">
        <f t="shared" si="7"/>
        <v>0.06684488004</v>
      </c>
      <c r="AC10" s="31">
        <f t="shared" si="7"/>
        <v>0.1728985166</v>
      </c>
      <c r="AD10" s="29">
        <f t="shared" si="7"/>
        <v>0.2606587335</v>
      </c>
      <c r="AE10" s="29">
        <f t="shared" si="7"/>
        <v>0.4533788486</v>
      </c>
      <c r="AF10" s="36"/>
      <c r="AG10" s="37">
        <f t="shared" ref="AG10:AK10" si="8">SUM(AG4:AG9)</f>
        <v>9</v>
      </c>
      <c r="AH10" s="37">
        <f t="shared" si="8"/>
        <v>14</v>
      </c>
      <c r="AI10" s="37">
        <f t="shared" si="8"/>
        <v>35</v>
      </c>
      <c r="AJ10" s="37">
        <f t="shared" si="8"/>
        <v>52</v>
      </c>
      <c r="AK10" s="37">
        <f t="shared" si="8"/>
        <v>93</v>
      </c>
      <c r="AL10" s="38">
        <f t="shared" si="3"/>
        <v>203</v>
      </c>
    </row>
    <row r="11">
      <c r="A11" s="13" t="s">
        <v>49</v>
      </c>
      <c r="B11" s="17">
        <f t="array" ref="B11">SUM(B4:B9*$AL43:$AL48)/$AL49</f>
        <v>0.6073619632</v>
      </c>
      <c r="C11" s="17">
        <f t="array" ref="C11">SUM(C4:C9*$AL30:$AL35)/$AL36</f>
        <v>0.6808510638</v>
      </c>
      <c r="D11" s="17">
        <f t="array" ref="D11">SUM(D4:D9*$AL17:$AL22)/$AL23</f>
        <v>0.6543209877</v>
      </c>
      <c r="E11" s="17">
        <f t="array" ref="E11">SUM(E4:E9*$AL4:$AL9)/$AL10</f>
        <v>0.7142916256</v>
      </c>
      <c r="F11" s="39" t="s">
        <v>48</v>
      </c>
      <c r="G11" s="5"/>
      <c r="H11" s="7"/>
      <c r="I11" s="7"/>
      <c r="J11" s="5"/>
      <c r="K11" s="33" t="s">
        <v>48</v>
      </c>
      <c r="L11" s="21">
        <f t="array" ref="L11">SUM(L4:L9*U4:U9)/U10</f>
        <v>0.93750625</v>
      </c>
      <c r="M11" s="21">
        <f t="array" ref="M11">SUM(M4:M9*V4:V9)/V10</f>
        <v>0.5294176471</v>
      </c>
      <c r="N11" s="21">
        <f t="array" ref="N11">SUM(N4:N9*W4:W9)/W10</f>
        <v>0.5416666667</v>
      </c>
      <c r="O11" s="21">
        <f t="array" ref="O11">SUM(O4:O9*X4:X9)/X10</f>
        <v>0.468093617</v>
      </c>
      <c r="P11" s="40">
        <f t="array" ref="P11">SUM(P4:P9*Y4:Y9)/Y10</f>
        <v>0.5673134615</v>
      </c>
      <c r="Q11" s="17">
        <f t="array" ref="Q11">SUM(Q4:Q9*Y4:Y9-X4:X9)/SUM(U10:W10)</f>
        <v>0.6491263158</v>
      </c>
      <c r="R11" s="41">
        <f t="array" ref="R11">SUM(R4:R9*Y4:Y9-W4:W9)/(SUM(U10:X10)-W10)</f>
        <v>0.5750075</v>
      </c>
      <c r="S11" s="17">
        <f t="array" ref="S11">SUM(S4:S9*U4:U9+V4:V9)/SUM(U10:V10)</f>
        <v>0.7272787879</v>
      </c>
      <c r="T11" s="27"/>
      <c r="U11" s="27"/>
      <c r="V11" s="27"/>
      <c r="W11" s="27"/>
      <c r="X11" s="27"/>
      <c r="Z11" s="21"/>
      <c r="AA11" s="21">
        <f t="shared" ref="AA11:AE11" si="9">AG10/$AL10</f>
        <v>0.04433497537</v>
      </c>
      <c r="AB11" s="21">
        <f t="shared" si="9"/>
        <v>0.06896551724</v>
      </c>
      <c r="AC11" s="21">
        <f t="shared" si="9"/>
        <v>0.1724137931</v>
      </c>
      <c r="AD11" s="21">
        <f t="shared" si="9"/>
        <v>0.2561576355</v>
      </c>
      <c r="AE11" s="21">
        <f t="shared" si="9"/>
        <v>0.4581280788</v>
      </c>
      <c r="AF11" s="36">
        <f>SUM(AA11:AE11)</f>
        <v>1</v>
      </c>
    </row>
    <row r="12">
      <c r="A12" s="11" t="s">
        <v>50</v>
      </c>
      <c r="B12" s="17">
        <f t="shared" ref="B12:D12" si="10">B10-$E10</f>
        <v>-0.09199079846</v>
      </c>
      <c r="C12" s="17">
        <f t="shared" si="10"/>
        <v>-0.01942817383</v>
      </c>
      <c r="D12" s="17">
        <f t="shared" si="10"/>
        <v>-0.05883306438</v>
      </c>
      <c r="E12" s="42"/>
      <c r="G12" s="5"/>
      <c r="H12" s="7"/>
      <c r="I12" s="7"/>
      <c r="J12" s="5"/>
      <c r="K12" s="43" t="s">
        <v>51</v>
      </c>
      <c r="L12" s="44">
        <v>0.65472</v>
      </c>
      <c r="M12" s="45">
        <f>TTEST(M4:M9, 'Summary (ELD)'!M4:M9, 1, 1)</f>
        <v>0.4045231015</v>
      </c>
      <c r="N12" s="45">
        <f>TTEST(N4:N9, 'Summary (ELD)'!N4:N9, 1, 1)</f>
        <v>0.08734390713</v>
      </c>
      <c r="O12" s="45">
        <f>TTEST(O4:O9, 'Summary (ELD)'!O4:O9, 1, 1)</f>
        <v>0.103417905</v>
      </c>
      <c r="Z12" s="43" t="s">
        <v>51</v>
      </c>
      <c r="AA12" s="45">
        <f>TTEST(AA4:AA9, 'Summary (ELD)'!AA4:AA9, 1, 1)</f>
        <v>0.2735954013</v>
      </c>
      <c r="AB12" s="45">
        <f>TTEST(AB4:AB9, 'Summary (ELD)'!AB4:AB9, 1, 1)</f>
        <v>0.002024613241</v>
      </c>
      <c r="AC12" s="45">
        <f>TTEST(AC4:AC9, 'Summary (ELD)'!AC4:AC9, 1, 1)</f>
        <v>0.1194156582</v>
      </c>
      <c r="AD12" s="45">
        <f>TTEST(AD4:AD9, 'Summary (ELD)'!AD4:AD9, 1, 1)</f>
        <v>0.1517543024</v>
      </c>
      <c r="AE12" s="45">
        <f>TTEST(AE4:AE9, 'Summary (ELD)'!AE4:AE9, 1, 1)</f>
        <v>0.001695901297</v>
      </c>
      <c r="AF12" s="36"/>
    </row>
    <row r="13">
      <c r="A13" s="1" t="s">
        <v>52</v>
      </c>
      <c r="B13" s="45">
        <f t="shared" ref="B13:D13" si="11">TTEST(B4:B9, $E4:$E9, 1, 1)</f>
        <v>0.01223724644</v>
      </c>
      <c r="C13" s="45">
        <f t="shared" si="11"/>
        <v>0.3353977735</v>
      </c>
      <c r="D13" s="45">
        <f t="shared" si="11"/>
        <v>0.03013651213</v>
      </c>
      <c r="E13" s="42"/>
      <c r="F13" s="4"/>
      <c r="G13" s="5"/>
      <c r="H13" s="5"/>
      <c r="I13" s="5"/>
      <c r="J13" s="5"/>
      <c r="K13" s="43" t="s">
        <v>53</v>
      </c>
      <c r="L13" s="5" t="b">
        <v>0</v>
      </c>
      <c r="M13" s="46" t="b">
        <v>1</v>
      </c>
      <c r="N13" s="46" t="b">
        <v>1</v>
      </c>
      <c r="O13" s="46" t="b">
        <v>1</v>
      </c>
      <c r="Z13" s="15" t="s">
        <v>54</v>
      </c>
      <c r="AA13" s="47" t="b">
        <v>1</v>
      </c>
      <c r="AB13" s="47" t="b">
        <v>1</v>
      </c>
      <c r="AC13" s="47" t="b">
        <v>1</v>
      </c>
      <c r="AD13" s="47" t="b">
        <v>1</v>
      </c>
      <c r="AE13" s="47" t="b">
        <v>1</v>
      </c>
    </row>
    <row r="14">
      <c r="A14" s="11" t="s">
        <v>51</v>
      </c>
      <c r="B14" s="45">
        <f>TTEST(B4:B9, 'Summary (ELD)'!B4:B9, 1, 1)</f>
        <v>0.00181378709</v>
      </c>
      <c r="C14" s="45">
        <f>TTEST(C4:C9, 'Summary (ELD)'!C4:C9, 1, 1)</f>
        <v>0.4169491253</v>
      </c>
      <c r="D14" s="45">
        <f>TTEST(D4:D9, 'Summary (ELD)'!D4:D9, 1, 1)</f>
        <v>0.06690821504</v>
      </c>
      <c r="E14" s="44">
        <v>0.031</v>
      </c>
      <c r="F14" s="39" t="s">
        <v>55</v>
      </c>
      <c r="G14" s="4"/>
      <c r="H14" s="4"/>
      <c r="I14" s="4"/>
      <c r="J14" s="7"/>
      <c r="K14" s="48"/>
    </row>
    <row r="15">
      <c r="A15" s="43" t="s">
        <v>53</v>
      </c>
      <c r="B15" s="46" t="b">
        <v>1</v>
      </c>
      <c r="C15" s="46" t="b">
        <v>1</v>
      </c>
      <c r="D15" s="46" t="b">
        <v>1</v>
      </c>
      <c r="E15" s="46" t="b">
        <v>0</v>
      </c>
      <c r="F15" s="4"/>
      <c r="G15" s="4"/>
      <c r="H15" s="4"/>
      <c r="I15" s="4"/>
      <c r="J15" s="7"/>
      <c r="K15" s="48"/>
      <c r="L15" s="22"/>
      <c r="M15" s="22"/>
      <c r="N15" s="22"/>
      <c r="O15" s="22"/>
    </row>
    <row r="16">
      <c r="A16" s="1"/>
      <c r="B16" s="15" t="s">
        <v>6</v>
      </c>
      <c r="F16" s="4"/>
      <c r="G16" s="4"/>
      <c r="H16" s="4"/>
      <c r="I16" s="4"/>
      <c r="J16" s="5"/>
      <c r="K16" s="48"/>
      <c r="L16" s="49">
        <v>50000.0</v>
      </c>
      <c r="U16" s="49">
        <v>50000.0</v>
      </c>
      <c r="AA16" s="49">
        <v>50000.0</v>
      </c>
      <c r="AG16" s="49">
        <v>50000.0</v>
      </c>
    </row>
    <row r="17">
      <c r="A17" s="1" t="s">
        <v>17</v>
      </c>
      <c r="B17" s="17">
        <f t="array" ref="B17">IFERROR(INDEX(INDIRECT(INDEX($G$4,0) &amp; "!$D$18"),0))</f>
        <v>0.4285714286</v>
      </c>
      <c r="C17" s="17">
        <f t="array" ref="C17">IFERROR(INDEX(INDIRECT(INDEX($H$4,0) &amp; "!$D$18"),0))</f>
        <v>0.5714285714</v>
      </c>
      <c r="D17" s="17">
        <f t="array" ref="D17">IFERROR(INDEX(INDIRECT(INDEX($I$4,0) &amp; "!$D$18"),0))</f>
        <v>0.6428571429</v>
      </c>
      <c r="E17" s="17">
        <f t="array" ref="E17">INDEX(INDIRECT(INDEX($J$4,0) &amp; "!$D$18"),0)</f>
        <v>0.5714285714</v>
      </c>
      <c r="F17" s="4"/>
      <c r="G17" s="4"/>
      <c r="H17" s="4"/>
      <c r="I17" s="4"/>
      <c r="J17" s="5"/>
      <c r="K17" s="48"/>
      <c r="L17" s="17">
        <f t="array" ref="L17">INDEX(INDIRECT(INDEX($I$4,0) &amp; "!$D$14"),0)</f>
        <v>1</v>
      </c>
      <c r="M17" s="17">
        <f t="array" ref="M17">INDEX(INDIRECT(INDEX($I$4,0) &amp; "!$D$15"),0)</f>
        <v>0.6666666667</v>
      </c>
      <c r="N17" s="17">
        <f t="array" ref="N17">INDEX(INDIRECT(INDEX($I$4,0) &amp; "!$D$16"),0)</f>
        <v>0.75</v>
      </c>
      <c r="O17" s="17">
        <f t="array" ref="O17">INDEX(INDIRECT(INDEX($I$4,0) &amp; "!$D$17"),0)</f>
        <v>0.25</v>
      </c>
      <c r="P17" s="20">
        <f t="array" ref="P17">SUM(L17:O17*U17:X17)/Y17</f>
        <v>0.6428571429</v>
      </c>
      <c r="Q17" s="21">
        <f t="array" ref="Q17">SUM(L17:N17*U17:W17)/SUM(U17:W17)</f>
        <v>0.8</v>
      </c>
      <c r="R17" s="17">
        <f t="shared" ref="R17:R22" si="12">(L17*U17+M17*V17+O17*X17)/(U17+V17+X17)</f>
        <v>0.6</v>
      </c>
      <c r="S17" s="21">
        <f t="array" ref="S17">SUM(L17:M17*U17:V17)/SUM(U17:V17)</f>
        <v>0.8333333333</v>
      </c>
      <c r="U17" s="23">
        <f t="array" ref="U17">INDEX(INDIRECT(INDEX($I$4,0) &amp; "!$C$14"),0)</f>
        <v>3</v>
      </c>
      <c r="V17" s="23">
        <f t="array" ref="V17">INDEX(INDIRECT(INDEX($I$4,0) &amp; "!$C$15"),0)</f>
        <v>3</v>
      </c>
      <c r="W17" s="23">
        <f t="array" ref="W17">INDEX(INDIRECT(INDEX($I$4,0) &amp; "!$C$16"),0)</f>
        <v>4</v>
      </c>
      <c r="X17" s="23">
        <f t="array" ref="X17">INDEX(INDIRECT(INDEX($I$4,0) &amp; "!$C$17"),0)</f>
        <v>4</v>
      </c>
      <c r="Y17" s="24">
        <f t="shared" ref="Y17:Y23" si="13">SUM(U17:X17)</f>
        <v>14</v>
      </c>
      <c r="AA17" s="17">
        <f t="array" ref="AA17">INDEX(INDIRECT(INDEX($I$4,0) &amp; "!$D$2"),0)</f>
        <v>0.04166666667</v>
      </c>
      <c r="AB17" s="17">
        <f t="array" ref="AB17">INDEX(INDIRECT(INDEX($I$4,0) &amp; "!$D$3"),0)</f>
        <v>0.08333333333</v>
      </c>
      <c r="AC17" s="17">
        <f t="array" ref="AC17">INDEX(INDIRECT(INDEX($I$4,0) &amp; "!$D$4"),0)</f>
        <v>0.08333333333</v>
      </c>
      <c r="AD17" s="17">
        <f t="array" ref="AD17">INDEX(INDIRECT(INDEX($I$4,0) &amp; "!$D$5"),0)</f>
        <v>0.375</v>
      </c>
      <c r="AE17" s="17">
        <f t="array" ref="AE17">INDEX(INDIRECT(INDEX($I$4,0) &amp; "!$D$6"),0)</f>
        <v>0.4166666667</v>
      </c>
      <c r="AG17" s="25">
        <f t="array" ref="AG17">INDEX(INDIRECT(INDEX($I$4,0) &amp; "!$C$2"),0)</f>
        <v>1</v>
      </c>
      <c r="AH17" s="25">
        <f t="array" ref="AH17">INDEX(INDIRECT(INDEX($I$4,0) &amp; "!$C$3"),0)</f>
        <v>2</v>
      </c>
      <c r="AI17" s="25">
        <f t="array" ref="AI17">INDEX(INDIRECT(INDEX($I$4,0) &amp; "!$C$4"),0)</f>
        <v>2</v>
      </c>
      <c r="AJ17" s="25">
        <f t="array" ref="AJ17">INDEX(INDIRECT(INDEX($I$4,0) &amp; "!$C$5"),0)</f>
        <v>9</v>
      </c>
      <c r="AK17" s="25">
        <f t="array" ref="AK17">INDEX(INDIRECT(INDEX($I$4,0) &amp; "!$C$6"),0)</f>
        <v>10</v>
      </c>
      <c r="AL17" s="26">
        <f t="shared" ref="AL17:AL23" si="14">SUM(AG17:AK17)</f>
        <v>24</v>
      </c>
    </row>
    <row r="18">
      <c r="A18" s="1" t="s">
        <v>22</v>
      </c>
      <c r="B18" s="17">
        <f t="array" ref="B18">IFERROR(INDEX(INDIRECT(INDEX($G$5,0) &amp; "!$D$18"),0))</f>
        <v>0.5</v>
      </c>
      <c r="C18" s="17">
        <f t="array" ref="C18">IFERROR(INDEX(INDIRECT(INDEX($H$5,0) &amp; "!$D$18"),0))</f>
        <v>0.3333333333</v>
      </c>
      <c r="D18" s="17">
        <f t="array" ref="D18">IFERROR(INDEX(INDIRECT(INDEX($I$5,0) &amp; "!$D$18"),0))</f>
        <v>0.3888888889</v>
      </c>
      <c r="E18" s="17">
        <f t="array" ref="E18">INDEX(INDIRECT(INDEX($J$5,0) &amp; "!$D$18"),0)</f>
        <v>0.5</v>
      </c>
      <c r="F18" s="4"/>
      <c r="G18" s="4"/>
      <c r="H18" s="4"/>
      <c r="I18" s="4"/>
      <c r="J18" s="5"/>
      <c r="K18" s="48"/>
      <c r="L18" s="17">
        <f t="array" ref="L18">INDEX(INDIRECT(INDEX($I$5,0) &amp; "!$D$14"),0)</f>
        <v>1</v>
      </c>
      <c r="M18" s="17">
        <f t="array" ref="M18">INDEX(INDIRECT(INDEX($I$5,0) &amp; "!$D$15"),0)</f>
        <v>0</v>
      </c>
      <c r="N18" s="17">
        <f t="array" ref="N18">INDEX(INDIRECT(INDEX($I$5,0) &amp; "!$D$16"),0)</f>
        <v>0</v>
      </c>
      <c r="O18" s="17">
        <f t="array" ref="O18">INDEX(INDIRECT(INDEX($I$5,0) &amp; "!$D$17"),0)</f>
        <v>0.4444444444</v>
      </c>
      <c r="P18" s="20">
        <f t="array" ref="P18">SUM(L18:O18*U18:X18)/Y18</f>
        <v>0.3888888889</v>
      </c>
      <c r="Q18" s="21">
        <f t="array" ref="Q18">SUM(L18:N18*U18:W18)/SUM(U18:W18)</f>
        <v>0.3333333333</v>
      </c>
      <c r="R18" s="17">
        <f t="shared" si="12"/>
        <v>0.5</v>
      </c>
      <c r="S18" s="21">
        <f t="array" ref="S18">SUM(L18:M18*U18:V18)/SUM(U18:V18)</f>
        <v>0.6</v>
      </c>
      <c r="T18" s="27"/>
      <c r="U18" s="23">
        <f t="array" ref="U18">INDEX(INDIRECT(INDEX($I$5,0) &amp; "!$C$14"),0)</f>
        <v>3</v>
      </c>
      <c r="V18" s="23">
        <f t="array" ref="V18">INDEX(INDIRECT(INDEX($I$5,0) &amp; "!$C$15"),0)</f>
        <v>2</v>
      </c>
      <c r="W18" s="23">
        <f t="array" ref="W18">INDEX(INDIRECT(INDEX($I$5,0) &amp; "!$C$16"),0)</f>
        <v>4</v>
      </c>
      <c r="X18" s="23">
        <f t="array" ref="X18">INDEX(INDIRECT(INDEX($I$5,0) &amp; "!$C$17"),0)</f>
        <v>9</v>
      </c>
      <c r="Y18" s="24">
        <f t="shared" si="13"/>
        <v>18</v>
      </c>
      <c r="Z18" s="21"/>
      <c r="AA18" s="17">
        <f t="array" ref="AA18">INDEX(INDIRECT(INDEX($I$5,0) &amp; "!$D$2"),0)</f>
        <v>0.1071428571</v>
      </c>
      <c r="AB18" s="17">
        <f t="array" ref="AB18">INDEX(INDIRECT(INDEX($I$5,0) &amp; "!$D$3"),0)</f>
        <v>0.07142857143</v>
      </c>
      <c r="AC18" s="17">
        <f t="array" ref="AC18">INDEX(INDIRECT(INDEX($I$5,0) &amp; "!$D$4"),0)</f>
        <v>0.2857142857</v>
      </c>
      <c r="AD18" s="17">
        <f t="array" ref="AD18">INDEX(INDIRECT(INDEX($I$5,0) &amp; "!$D$5"),0)</f>
        <v>0.1785714286</v>
      </c>
      <c r="AE18" s="17">
        <f t="array" ref="AE18">INDEX(INDIRECT(INDEX($I$5,0) &amp; "!$D$6"),0)</f>
        <v>0.3571428571</v>
      </c>
      <c r="AG18" s="25">
        <f t="array" ref="AG18">INDEX(INDIRECT(INDEX($I$5,0) &amp; "!$C$2"),0)</f>
        <v>3</v>
      </c>
      <c r="AH18" s="25">
        <f t="array" ref="AH18">INDEX(INDIRECT(INDEX($I$5,0) &amp; "!$C$3"),0)</f>
        <v>2</v>
      </c>
      <c r="AI18" s="25">
        <f t="array" ref="AI18">INDEX(INDIRECT(INDEX($I$5,0) &amp; "!$C$4"),0)</f>
        <v>8</v>
      </c>
      <c r="AJ18" s="25">
        <f t="array" ref="AJ18">INDEX(INDIRECT(INDEX($I$5,0) &amp; "!$C$5"),0)</f>
        <v>5</v>
      </c>
      <c r="AK18" s="25">
        <f t="array" ref="AK18">INDEX(INDIRECT(INDEX($I$5,0) &amp; "!$C$6"),0)</f>
        <v>10</v>
      </c>
      <c r="AL18" s="26">
        <f t="shared" si="14"/>
        <v>28</v>
      </c>
    </row>
    <row r="19">
      <c r="A19" s="1" t="s">
        <v>27</v>
      </c>
      <c r="B19" s="17">
        <f t="array" ref="B19">IFERROR(INDEX(INDIRECT(INDEX($G$6,0) &amp; "!$D$18"),0))</f>
        <v>0.5</v>
      </c>
      <c r="C19" s="17">
        <f t="array" ref="C19">IFERROR(INDEX(INDIRECT(INDEX($H$6,0) &amp; "!$D$18"),0))</f>
        <v>0.6666666667</v>
      </c>
      <c r="D19" s="17">
        <f t="array" ref="D19">IFERROR(INDEX(INDIRECT(INDEX($I$6,0) &amp; "!$D$18"),0))</f>
        <v>0.6666666667</v>
      </c>
      <c r="E19" s="17">
        <f t="array" ref="E19">INDEX(INDIRECT(INDEX($J$6,0) &amp; "!$D$18"),0)</f>
        <v>0.6667</v>
      </c>
      <c r="F19" s="4"/>
      <c r="G19" s="4"/>
      <c r="H19" s="4"/>
      <c r="I19" s="4"/>
      <c r="J19" s="5"/>
      <c r="K19" s="48"/>
      <c r="L19" s="17">
        <f t="array" ref="L19">INDEX(INDIRECT(INDEX($I$6,0) &amp; "!$D$14"),0)</f>
        <v>1</v>
      </c>
      <c r="M19" s="17">
        <f t="array" ref="M19">INDEX(INDIRECT(INDEX($I$6,0) &amp; "!$D$15"),0)</f>
        <v>1</v>
      </c>
      <c r="N19" s="17">
        <f t="array" ref="N19">INDEX(INDIRECT(INDEX($I$6,0) &amp; "!$D$16"),0)</f>
        <v>0.75</v>
      </c>
      <c r="O19" s="17">
        <f t="array" ref="O19">INDEX(INDIRECT(INDEX($I$6,0) &amp; "!$D$17"),0)</f>
        <v>0.375</v>
      </c>
      <c r="P19" s="20">
        <f t="array" ref="P19">SUM(L19:O19*U19:X19)/Y19</f>
        <v>0.6666666667</v>
      </c>
      <c r="Q19" s="21">
        <f t="array" ref="Q19">SUM(L19:N19*U19:W19)/SUM(U19:W19)</f>
        <v>0.9</v>
      </c>
      <c r="R19" s="17">
        <f t="shared" si="12"/>
        <v>0.6428571429</v>
      </c>
      <c r="S19" s="21">
        <f t="array" ref="S19">SUM(L19:M19*U19:V19)/SUM(U19:V19)</f>
        <v>1</v>
      </c>
      <c r="T19" s="27"/>
      <c r="U19" s="23">
        <f t="array" ref="U19">INDEX(INDIRECT(INDEX($I$6,0) &amp; "!$C$14"),0)</f>
        <v>3</v>
      </c>
      <c r="V19" s="23">
        <f t="array" ref="V19">INDEX(INDIRECT(INDEX($I$6,0) &amp; "!$C$15"),0)</f>
        <v>3</v>
      </c>
      <c r="W19" s="23">
        <f t="array" ref="W19">INDEX(INDIRECT(INDEX($I$6,0) &amp; "!$C$16"),0)</f>
        <v>4</v>
      </c>
      <c r="X19" s="23">
        <f t="array" ref="X19">INDEX(INDIRECT(INDEX($I$6,0) &amp; "!$C$17"),0)</f>
        <v>8</v>
      </c>
      <c r="Y19" s="24">
        <f t="shared" si="13"/>
        <v>18</v>
      </c>
      <c r="Z19" s="21"/>
      <c r="AA19" s="17">
        <f t="array" ref="AA19">INDEX(INDIRECT(INDEX($I$6,0) &amp; "!$D$2"),0)</f>
        <v>0.03333333333</v>
      </c>
      <c r="AB19" s="17">
        <f t="array" ref="AB19">INDEX(INDIRECT(INDEX($I$6,0) &amp; "!$D$3"),0)</f>
        <v>0.06666666667</v>
      </c>
      <c r="AC19" s="17">
        <f t="array" ref="AC19">INDEX(INDIRECT(INDEX($I$6,0) &amp; "!$D$4"),0)</f>
        <v>0.2</v>
      </c>
      <c r="AD19" s="17">
        <f t="array" ref="AD19">INDEX(INDIRECT(INDEX($I$6,0) &amp; "!$D$5"),0)</f>
        <v>0.3666666667</v>
      </c>
      <c r="AE19" s="17">
        <f t="array" ref="AE19">INDEX(INDIRECT(INDEX($I$6,0) &amp; "!$D$6"),0)</f>
        <v>0.3333333333</v>
      </c>
      <c r="AG19" s="25">
        <f t="array" ref="AG19">INDEX(INDIRECT(INDEX($I$6,0) &amp; "!$C$2"),0)</f>
        <v>1</v>
      </c>
      <c r="AH19" s="25">
        <f t="array" ref="AH19">INDEX(INDIRECT(INDEX($I$6,0) &amp; "!$C$3"),0)</f>
        <v>2</v>
      </c>
      <c r="AI19" s="25">
        <f t="array" ref="AI19">INDEX(INDIRECT(INDEX($I$6,0) &amp; "!$C$4"),0)</f>
        <v>6</v>
      </c>
      <c r="AJ19" s="25">
        <f t="array" ref="AJ19">INDEX(INDIRECT(INDEX($I$6,0) &amp; "!$C$5"),0)</f>
        <v>11</v>
      </c>
      <c r="AK19" s="25">
        <f t="array" ref="AK19">INDEX(INDIRECT(INDEX($I$6,0) &amp; "!$C$6"),0)</f>
        <v>10</v>
      </c>
      <c r="AL19" s="26">
        <f t="shared" si="14"/>
        <v>30</v>
      </c>
    </row>
    <row r="20">
      <c r="A20" s="1" t="s">
        <v>32</v>
      </c>
      <c r="B20" s="17">
        <f t="array" ref="B20">IFERROR(INDEX(INDIRECT(INDEX($G$7,0) &amp; "!$D$18"),0))</f>
        <v>0.347826087</v>
      </c>
      <c r="C20" s="17">
        <f t="array" ref="C20">IFERROR(INDEX(INDIRECT(INDEX($H$7,0) &amp; "!$D$18"),0))</f>
        <v>0.347826087</v>
      </c>
      <c r="D20" s="17">
        <f t="array" ref="D20">IFERROR(INDEX(INDIRECT(INDEX($I$7,0) &amp; "!$D$18"),0))</f>
        <v>0.3913043478</v>
      </c>
      <c r="E20" s="17">
        <f t="array" ref="E20">INDEX(INDIRECT(INDEX($J$7,0) &amp; "!$D$18"),0)</f>
        <v>0.4347826087</v>
      </c>
      <c r="F20" s="4"/>
      <c r="G20" s="5"/>
      <c r="H20" s="5"/>
      <c r="I20" s="5"/>
      <c r="J20" s="5"/>
      <c r="K20" s="21"/>
      <c r="L20" s="17">
        <f t="array" ref="L20">INDEX(INDIRECT(INDEX($I$7,0) &amp; "!$D$14"),0)</f>
        <v>1</v>
      </c>
      <c r="M20" s="17">
        <f t="array" ref="M20">INDEX(INDIRECT(INDEX($I$7,0) &amp; "!$D$15"),0)</f>
        <v>0.2857142857</v>
      </c>
      <c r="N20" s="17">
        <f t="array" ref="N20">INDEX(INDIRECT(INDEX($I$7,0) &amp; "!$D$16"),0)</f>
        <v>0.25</v>
      </c>
      <c r="O20" s="17">
        <f t="array" ref="O20">INDEX(INDIRECT(INDEX($I$7,0) &amp; "!$D$17"),0)</f>
        <v>0.3333333333</v>
      </c>
      <c r="P20" s="20">
        <f t="array" ref="P20">SUM(L20:O20*U20:X20)/Y20</f>
        <v>0.3913043478</v>
      </c>
      <c r="Q20" s="21">
        <f t="array" ref="Q20">SUM(L20:N20*U20:W20)/SUM(U20:W20)</f>
        <v>0.4285714286</v>
      </c>
      <c r="R20" s="17">
        <f t="shared" si="12"/>
        <v>0.4210526316</v>
      </c>
      <c r="S20" s="21">
        <f t="array" ref="S20">SUM(L20:M20*U20:V20)/SUM(U20:V20)</f>
        <v>0.5</v>
      </c>
      <c r="T20" s="27"/>
      <c r="U20" s="23">
        <f t="array" ref="U20">INDEX(INDIRECT(INDEX($I$7,0) &amp; "!$C$14"),0)</f>
        <v>3</v>
      </c>
      <c r="V20" s="23">
        <f t="array" ref="V20">INDEX(INDIRECT(INDEX($I$7,0) &amp; "!$C$15"),0)</f>
        <v>7</v>
      </c>
      <c r="W20" s="23">
        <f t="array" ref="W20">INDEX(INDIRECT(INDEX($I$7,0) &amp; "!$C$16"),0)</f>
        <v>4</v>
      </c>
      <c r="X20" s="23">
        <f t="array" ref="X20">INDEX(INDIRECT(INDEX($I$7,0) &amp; "!$C$17"),0)</f>
        <v>9</v>
      </c>
      <c r="Y20" s="24">
        <f t="shared" si="13"/>
        <v>23</v>
      </c>
      <c r="Z20" s="21"/>
      <c r="AA20" s="17">
        <f t="array" ref="AA20">INDEX(INDIRECT(INDEX($I$7,0) &amp; "!$D$2"),0)</f>
        <v>0.1</v>
      </c>
      <c r="AB20" s="17">
        <f t="array" ref="AB20">INDEX(INDIRECT(INDEX($I$7,0) &amp; "!$D$3"),0)</f>
        <v>0.1</v>
      </c>
      <c r="AC20" s="17">
        <f t="array" ref="AC20">INDEX(INDIRECT(INDEX($I$7,0) &amp; "!$D$4"),0)</f>
        <v>0.1333333333</v>
      </c>
      <c r="AD20" s="17">
        <f t="array" ref="AD20">INDEX(INDIRECT(INDEX($I$7,0) &amp; "!$D$5"),0)</f>
        <v>0.3</v>
      </c>
      <c r="AE20" s="17">
        <f t="array" ref="AE20">INDEX(INDIRECT(INDEX($I$7,0) &amp; "!$D$6"),0)</f>
        <v>0.3666666667</v>
      </c>
      <c r="AG20" s="25">
        <f t="array" ref="AG20">INDEX(INDIRECT(INDEX($I$7,0) &amp; "!$C$2"),0)</f>
        <v>3</v>
      </c>
      <c r="AH20" s="25">
        <f t="array" ref="AH20">INDEX(INDIRECT(INDEX($I$7,0) &amp; "!$C$3"),0)</f>
        <v>3</v>
      </c>
      <c r="AI20" s="25">
        <f t="array" ref="AI20">INDEX(INDIRECT(INDEX($I$7,0) &amp; "!$C$4"),0)</f>
        <v>4</v>
      </c>
      <c r="AJ20" s="25">
        <f t="array" ref="AJ20">INDEX(INDIRECT(INDEX($I$7,0) &amp; "!$C$5"),0)</f>
        <v>9</v>
      </c>
      <c r="AK20" s="25">
        <f t="array" ref="AK20">INDEX(INDIRECT(INDEX($I$7,0) &amp; "!$C$6"),0)</f>
        <v>11</v>
      </c>
      <c r="AL20" s="26">
        <f t="shared" si="14"/>
        <v>30</v>
      </c>
    </row>
    <row r="21">
      <c r="A21" s="1" t="s">
        <v>37</v>
      </c>
      <c r="B21" s="17">
        <f t="array" ref="B21">IFERROR(INDEX(INDIRECT(INDEX($G$8,0) &amp; "!$D$18"),0))</f>
        <v>0.375</v>
      </c>
      <c r="C21" s="17">
        <f t="array" ref="C21">IFERROR(INDEX(INDIRECT(INDEX($H$8,0) &amp; "!$D$18"),0))</f>
        <v>0.375</v>
      </c>
      <c r="D21" s="17">
        <f t="array" ref="D21">IFERROR(INDEX(INDIRECT(INDEX($I$8,0) &amp; "!$D$18"),0))</f>
        <v>0.4375</v>
      </c>
      <c r="E21" s="17">
        <f t="array" ref="E21">INDEX(INDIRECT(INDEX($J$8,0) &amp; "!$D$18"),0)</f>
        <v>0.625</v>
      </c>
      <c r="F21" s="4"/>
      <c r="G21" s="5"/>
      <c r="H21" s="5"/>
      <c r="I21" s="5"/>
      <c r="J21" s="5"/>
      <c r="K21" s="21"/>
      <c r="L21" s="17">
        <f t="array" ref="L21">INDEX(INDIRECT(INDEX($I$8,0) &amp; "!$D$14"),0)</f>
        <v>1</v>
      </c>
      <c r="M21" s="17">
        <f t="array" ref="M21">INDEX(INDIRECT(INDEX($I$8,0) &amp; "!$D$15"),0)</f>
        <v>0</v>
      </c>
      <c r="N21" s="17">
        <f t="array" ref="N21">INDEX(INDIRECT(INDEX($I$8,0) &amp; "!$D$16"),0)</f>
        <v>0.5</v>
      </c>
      <c r="O21" s="17">
        <f t="array" ref="O21">INDEX(INDIRECT(INDEX($I$8,0) &amp; "!$D$17"),0)</f>
        <v>0.3</v>
      </c>
      <c r="P21" s="20">
        <f t="array" ref="P21">SUM(L21:O21*U21:X21)/Y21</f>
        <v>0.4375</v>
      </c>
      <c r="Q21" s="21">
        <f t="array" ref="Q21">SUM(L21:N21*U21:W21)/SUM(U21:W21)</f>
        <v>0.6666666667</v>
      </c>
      <c r="R21" s="17">
        <f t="shared" si="12"/>
        <v>0.4166666667</v>
      </c>
      <c r="S21" s="21">
        <f t="array" ref="S21">SUM(L21:M21*U21:V21)/SUM(U21:V21)</f>
        <v>1</v>
      </c>
      <c r="T21" s="27"/>
      <c r="U21" s="23">
        <f t="array" ref="U21">INDEX(INDIRECT(INDEX($I$8,0) &amp; "!$C$14"),0)</f>
        <v>2</v>
      </c>
      <c r="V21" s="23">
        <f t="array" ref="V21">INDEX(INDIRECT(INDEX($I$8,0) &amp; "!$C$15"),0)</f>
        <v>0</v>
      </c>
      <c r="W21" s="23">
        <f t="array" ref="W21">INDEX(INDIRECT(INDEX($I$8,0) &amp; "!$C$16"),0)</f>
        <v>4</v>
      </c>
      <c r="X21" s="23">
        <f t="array" ref="X21">INDEX(INDIRECT(INDEX($I$8,0) &amp; "!$C$17"),0)</f>
        <v>10</v>
      </c>
      <c r="Y21" s="24">
        <f t="shared" si="13"/>
        <v>16</v>
      </c>
      <c r="Z21" s="21"/>
      <c r="AA21" s="17">
        <f t="array" ref="AA21">INDEX(INDIRECT(INDEX($I$8,0) &amp; "!$D$2"),0)</f>
        <v>0.08333333333</v>
      </c>
      <c r="AB21" s="17">
        <f t="array" ref="AB21">INDEX(INDIRECT(INDEX($I$8,0) &amp; "!$D$3"),0)</f>
        <v>0.08333333333</v>
      </c>
      <c r="AC21" s="17">
        <f t="array" ref="AC21">INDEX(INDIRECT(INDEX($I$8,0) &amp; "!$D$4"),0)</f>
        <v>0.25</v>
      </c>
      <c r="AD21" s="17">
        <f t="array" ref="AD21">INDEX(INDIRECT(INDEX($I$8,0) &amp; "!$D$5"),0)</f>
        <v>0.25</v>
      </c>
      <c r="AE21" s="17">
        <f t="array" ref="AE21">INDEX(INDIRECT(INDEX($I$8,0) &amp; "!$D$6"),0)</f>
        <v>0.3333333333</v>
      </c>
      <c r="AG21" s="25">
        <f t="array" ref="AG21">INDEX(INDIRECT(INDEX($I$8,0) &amp; "!$C$2"),0)</f>
        <v>2</v>
      </c>
      <c r="AH21" s="25">
        <f t="array" ref="AH21">INDEX(INDIRECT(INDEX($I$8,0) &amp; "!$C$3"),0)</f>
        <v>2</v>
      </c>
      <c r="AI21" s="25">
        <f t="array" ref="AI21">INDEX(INDIRECT(INDEX($I$8,0) &amp; "!$C$4"),0)</f>
        <v>6</v>
      </c>
      <c r="AJ21" s="25">
        <f t="array" ref="AJ21">INDEX(INDIRECT(INDEX($I$8,0) &amp; "!$C$5"),0)</f>
        <v>6</v>
      </c>
      <c r="AK21" s="25">
        <f t="array" ref="AK21">INDEX(INDIRECT(INDEX($I$8,0) &amp; "!$C$6"),0)</f>
        <v>8</v>
      </c>
      <c r="AL21" s="26">
        <f t="shared" si="14"/>
        <v>24</v>
      </c>
    </row>
    <row r="22">
      <c r="A22" s="13" t="s">
        <v>42</v>
      </c>
      <c r="B22" s="17">
        <f t="array" ref="B22">IFERROR(INDEX(INDIRECT(INDEX($G$9,0) &amp; "!$D$18"),0))</f>
        <v>0.4</v>
      </c>
      <c r="C22" s="17">
        <f t="array" ref="C22">IFERROR(INDEX(INDIRECT(INDEX($H$9,0) &amp; "!$D$18"),0))</f>
        <v>0.4666666667</v>
      </c>
      <c r="D22" s="17">
        <f t="array" ref="D22">IFERROR(INDEX(INDIRECT(INDEX($I$9,0) &amp; "!$D$18"),0))</f>
        <v>0.4</v>
      </c>
      <c r="E22" s="17">
        <f t="array" ref="E22">INDEX(INDIRECT(INDEX($J$9,0) &amp; "!$D$18"),0)</f>
        <v>0.6</v>
      </c>
      <c r="F22" s="4"/>
      <c r="G22" s="30"/>
      <c r="H22" s="30"/>
      <c r="I22" s="30"/>
      <c r="J22" s="30"/>
      <c r="K22" s="21"/>
      <c r="L22" s="17">
        <f t="array" ref="L22">INDEX(INDIRECT(INDEX($I$9,0) &amp; "!$D$14"),0)</f>
        <v>1</v>
      </c>
      <c r="M22" s="17">
        <f t="array" ref="M22">INDEX(INDIRECT(INDEX($I$9,0) &amp; "!$D$15"),0)</f>
        <v>0</v>
      </c>
      <c r="N22" s="17">
        <f t="array" ref="N22">INDEX(INDIRECT(INDEX($I$9,0) &amp; "!$D$16"),0)</f>
        <v>0.25</v>
      </c>
      <c r="O22" s="17">
        <f t="array" ref="O22">INDEX(INDIRECT(INDEX($I$9,0) &amp; "!$D$17"),0)</f>
        <v>0.4285714286</v>
      </c>
      <c r="P22" s="20">
        <f t="array" ref="P22">SUM(L22:O22*U22:X22)/Y22</f>
        <v>0.4</v>
      </c>
      <c r="Q22" s="21">
        <f t="array" ref="Q22">SUM(L22:N22*U22:W22)/SUM(U22:W22)</f>
        <v>0.375</v>
      </c>
      <c r="R22" s="17">
        <f t="shared" si="12"/>
        <v>0.4545454545</v>
      </c>
      <c r="S22" s="21">
        <f t="array" ref="S22">SUM(L22:M22*U22:V22)/SUM(U22:V22)</f>
        <v>0.5</v>
      </c>
      <c r="T22" s="27"/>
      <c r="U22" s="23">
        <f t="array" ref="U22">INDEX(INDIRECT(INDEX($I$9,0) &amp; "!$C$14"),0)</f>
        <v>2</v>
      </c>
      <c r="V22" s="23">
        <f t="array" ref="V22">INDEX(INDIRECT(INDEX($I$9,0) &amp; "!$C$15"),0)</f>
        <v>2</v>
      </c>
      <c r="W22" s="23">
        <f t="array" ref="W22">INDEX(INDIRECT(INDEX($I$9,0) &amp; "!$C$16"),0)</f>
        <v>4</v>
      </c>
      <c r="X22" s="23">
        <f t="array" ref="X22">INDEX(INDIRECT(INDEX($I$9,0) &amp; "!$C$17"),0)</f>
        <v>7</v>
      </c>
      <c r="Y22" s="24">
        <f t="shared" si="13"/>
        <v>15</v>
      </c>
      <c r="Z22" s="21"/>
      <c r="AA22" s="17">
        <f t="array" ref="AA22">INDEX(INDIRECT(INDEX($I$9,0) &amp; "!$D$2"),0)</f>
        <v>0.07692307692</v>
      </c>
      <c r="AB22" s="17">
        <f t="array" ref="AB22">INDEX(INDIRECT(INDEX($I$9,0) &amp; "!$D$3"),0)</f>
        <v>0</v>
      </c>
      <c r="AC22" s="17">
        <f t="array" ref="AC22">INDEX(INDIRECT(INDEX($I$9,0) &amp; "!$D$4"),0)</f>
        <v>0.2692307692</v>
      </c>
      <c r="AD22" s="17">
        <f t="array" ref="AD22">INDEX(INDIRECT(INDEX($I$9,0) &amp; "!$D$5"),0)</f>
        <v>0.1923076923</v>
      </c>
      <c r="AE22" s="17">
        <f t="array" ref="AE22">INDEX(INDIRECT(INDEX($I$9,0) &amp; "!$D$6"),0)</f>
        <v>0.4615384615</v>
      </c>
      <c r="AG22" s="25">
        <f t="array" ref="AG22">INDEX(INDIRECT(INDEX($I$9,0) &amp; "!$C$2"),0)</f>
        <v>2</v>
      </c>
      <c r="AH22" s="25">
        <f t="array" ref="AH22">INDEX(INDIRECT(INDEX($I$9,0) &amp; "!$C$3"),0)</f>
        <v>0</v>
      </c>
      <c r="AI22" s="25">
        <f t="array" ref="AI22">INDEX(INDIRECT(INDEX($I$9,0) &amp; "!$C$4"),0)</f>
        <v>7</v>
      </c>
      <c r="AJ22" s="25">
        <f t="array" ref="AJ22">INDEX(INDIRECT(INDEX($I$9,0) &amp; "!$C$5"),0)</f>
        <v>5</v>
      </c>
      <c r="AK22" s="25">
        <f t="array" ref="AK22">INDEX(INDIRECT(INDEX($I$9,0) &amp; "!$C$6"),0)</f>
        <v>12</v>
      </c>
      <c r="AL22" s="26">
        <f t="shared" si="14"/>
        <v>26</v>
      </c>
    </row>
    <row r="23">
      <c r="A23" s="28" t="s">
        <v>47</v>
      </c>
      <c r="B23" s="29">
        <f t="shared" ref="B23:E23" si="15">AVERAGE(B$17:B22)</f>
        <v>0.4252329193</v>
      </c>
      <c r="C23" s="29">
        <f t="shared" si="15"/>
        <v>0.4601535542</v>
      </c>
      <c r="D23" s="29">
        <f t="shared" si="15"/>
        <v>0.4878695077</v>
      </c>
      <c r="E23" s="29">
        <f t="shared" si="15"/>
        <v>0.56631853</v>
      </c>
      <c r="F23" s="4"/>
      <c r="G23" s="5"/>
      <c r="H23" s="5"/>
      <c r="I23" s="5"/>
      <c r="J23" s="5"/>
      <c r="K23" s="21"/>
      <c r="L23" s="29">
        <f t="shared" ref="L23:S23" si="16">AVERAGE(L17:L22)</f>
        <v>1</v>
      </c>
      <c r="M23" s="31">
        <f t="shared" si="16"/>
        <v>0.3253968254</v>
      </c>
      <c r="N23" s="29">
        <f t="shared" si="16"/>
        <v>0.4166666667</v>
      </c>
      <c r="O23" s="31">
        <f t="shared" si="16"/>
        <v>0.3552248677</v>
      </c>
      <c r="P23" s="32">
        <f t="shared" si="16"/>
        <v>0.4878695077</v>
      </c>
      <c r="Q23" s="29">
        <f t="shared" si="16"/>
        <v>0.5839285714</v>
      </c>
      <c r="R23" s="31">
        <f t="shared" si="16"/>
        <v>0.5058536493</v>
      </c>
      <c r="S23" s="29">
        <f t="shared" si="16"/>
        <v>0.7388888889</v>
      </c>
      <c r="T23" s="27"/>
      <c r="U23" s="34">
        <f t="shared" ref="U23:X23" si="17">SUM(U17:U22)</f>
        <v>16</v>
      </c>
      <c r="V23" s="34">
        <f t="shared" si="17"/>
        <v>17</v>
      </c>
      <c r="W23" s="34">
        <f t="shared" si="17"/>
        <v>24</v>
      </c>
      <c r="X23" s="34">
        <f t="shared" si="17"/>
        <v>47</v>
      </c>
      <c r="Y23" s="35">
        <f t="shared" si="13"/>
        <v>104</v>
      </c>
      <c r="Z23" s="21"/>
      <c r="AA23" s="29">
        <f t="shared" ref="AA23:AE23" si="18">AVERAGE(AA17:AA22)</f>
        <v>0.07373321123</v>
      </c>
      <c r="AB23" s="31">
        <f t="shared" si="18"/>
        <v>0.06746031746</v>
      </c>
      <c r="AC23" s="31">
        <f t="shared" si="18"/>
        <v>0.2036019536</v>
      </c>
      <c r="AD23" s="29">
        <f t="shared" si="18"/>
        <v>0.2770909646</v>
      </c>
      <c r="AE23" s="29">
        <f t="shared" si="18"/>
        <v>0.3781135531</v>
      </c>
      <c r="AG23" s="37">
        <f t="shared" ref="AG23:AK23" si="19">SUM(AG17:AG22)</f>
        <v>12</v>
      </c>
      <c r="AH23" s="37">
        <f t="shared" si="19"/>
        <v>11</v>
      </c>
      <c r="AI23" s="37">
        <f t="shared" si="19"/>
        <v>33</v>
      </c>
      <c r="AJ23" s="37">
        <f t="shared" si="19"/>
        <v>45</v>
      </c>
      <c r="AK23" s="37">
        <f t="shared" si="19"/>
        <v>61</v>
      </c>
      <c r="AL23" s="38">
        <f t="shared" si="14"/>
        <v>162</v>
      </c>
    </row>
    <row r="24">
      <c r="A24" s="13" t="s">
        <v>49</v>
      </c>
      <c r="B24" s="17">
        <f t="array" ref="B24">SUM(B17:B22*$Y43:$Y48)/$Y49</f>
        <v>0.4230769231</v>
      </c>
      <c r="C24" s="17">
        <f t="array" ref="C24">SUM(C17:C22*$Y30:$Y35)/$Y36</f>
        <v>0.4519230769</v>
      </c>
      <c r="D24" s="17">
        <f t="array" ref="D24">SUM(D17:D22*$Y17:$Y22)/$Y23</f>
        <v>0.4807692308</v>
      </c>
      <c r="E24" s="17">
        <f t="array" ref="E24">SUM(E17:E22*$Y4:$Y9)/$Y10</f>
        <v>0.5576980769</v>
      </c>
      <c r="F24" s="4"/>
      <c r="G24" s="5"/>
      <c r="H24" s="7"/>
      <c r="I24" s="7"/>
      <c r="J24" s="5"/>
      <c r="K24" s="21"/>
      <c r="L24" s="21">
        <f t="array" ref="L24">SUM(L17:L22*U17:U22)/U23</f>
        <v>1</v>
      </c>
      <c r="M24" s="21">
        <f t="array" ref="M24">SUM(M17:M22*V17:V22)/V23</f>
        <v>0.4117647059</v>
      </c>
      <c r="N24" s="21">
        <f t="array" ref="N24">SUM(N17:N22*W17:W22)/W23</f>
        <v>0.4166666667</v>
      </c>
      <c r="O24" s="21">
        <f t="array" ref="O24">SUM(O17:O22*X17:X22)/X23</f>
        <v>0.3617021277</v>
      </c>
      <c r="P24" s="40">
        <f t="array" ref="P24">SUM(P17:P22*Y17:Y22)/Y23</f>
        <v>0.4807692308</v>
      </c>
      <c r="Q24" s="17">
        <f t="array" ref="Q24">SUM(Q17:Q22*Y17:Y22-X17:X22)/SUM(U23:W23)</f>
        <v>0.5789473684</v>
      </c>
      <c r="R24" s="41">
        <f t="array" ref="R24">SUM(R17:R22*Y17:Y22-W17:W22)/(SUM(U23:X23)-W23)</f>
        <v>0.5</v>
      </c>
      <c r="S24" s="17">
        <f t="array" ref="S24">SUM(S17:S22*U17:U22+V17:V22)/SUM(U23:V23)</f>
        <v>0.696969697</v>
      </c>
      <c r="T24" s="27"/>
      <c r="U24" s="27"/>
      <c r="V24" s="27"/>
      <c r="W24" s="27"/>
      <c r="X24" s="27"/>
      <c r="Z24" s="21"/>
      <c r="AA24" s="21">
        <f t="shared" ref="AA24:AE24" si="20">AG23/$AL23</f>
        <v>0.07407407407</v>
      </c>
      <c r="AB24" s="21">
        <f t="shared" si="20"/>
        <v>0.06790123457</v>
      </c>
      <c r="AC24" s="21">
        <f t="shared" si="20"/>
        <v>0.2037037037</v>
      </c>
      <c r="AD24" s="21">
        <f t="shared" si="20"/>
        <v>0.2777777778</v>
      </c>
      <c r="AE24" s="21">
        <f t="shared" si="20"/>
        <v>0.3765432099</v>
      </c>
      <c r="AF24" s="36">
        <f>SUM(AA24:AE24)</f>
        <v>1</v>
      </c>
    </row>
    <row r="25">
      <c r="A25" s="11" t="s">
        <v>50</v>
      </c>
      <c r="B25" s="17">
        <f t="shared" ref="B25:D25" si="21">B23-$E23</f>
        <v>-0.1410856108</v>
      </c>
      <c r="C25" s="17">
        <f t="shared" si="21"/>
        <v>-0.1061649758</v>
      </c>
      <c r="D25" s="17">
        <f t="shared" si="21"/>
        <v>-0.07844902231</v>
      </c>
      <c r="E25" s="42"/>
      <c r="F25" s="4"/>
      <c r="G25" s="5"/>
      <c r="H25" s="5"/>
      <c r="I25" s="5"/>
      <c r="J25" s="5"/>
      <c r="K25" s="43" t="s">
        <v>51</v>
      </c>
      <c r="L25" s="44">
        <v>0.17971</v>
      </c>
      <c r="M25" s="44">
        <v>0.10881</v>
      </c>
      <c r="N25" s="45">
        <f>TTEST(N17:N22, 'Summary (ELD)'!N17:N22, 1, 1)</f>
        <v>0.05096973941</v>
      </c>
      <c r="O25" s="45">
        <f>TTEST(O17:O22, 'Summary (ELD)'!O17:O22, 1, 1)</f>
        <v>0.04539749336</v>
      </c>
      <c r="Z25" s="43" t="s">
        <v>51</v>
      </c>
      <c r="AA25" s="45">
        <f>TTEST(AA17:AA22, 'Summary (ELD)'!AA17:AA22, 1, 1)</f>
        <v>0.4531658854</v>
      </c>
      <c r="AB25" s="45">
        <f>TTEST(AB17:AB22, 'Summary (ELD)'!AB17:AB22, 1, 1)</f>
        <v>0.03183946689</v>
      </c>
      <c r="AC25" s="45">
        <f>TTEST(AC17:AC22, 'Summary (ELD)'!AC17:AC22, 1, 1)</f>
        <v>0.2808715272</v>
      </c>
      <c r="AD25" s="45">
        <f>TTEST(AD17:AD22, 'Summary (ELD)'!AD17:AD22, 1, 1)</f>
        <v>0.473209081</v>
      </c>
      <c r="AE25" s="45">
        <f>TTEST(AE17:AE22, 'Summary (ELD)'!AE17:AE22, 1, 1)</f>
        <v>0.002554145382</v>
      </c>
    </row>
    <row r="26">
      <c r="A26" s="11" t="s">
        <v>52</v>
      </c>
      <c r="B26" s="45">
        <f t="shared" ref="B26:D26" si="22">TTEST(B17:B22, $E17:$E22, 1, 1)</f>
        <v>0.005581522433</v>
      </c>
      <c r="C26" s="45">
        <f t="shared" si="22"/>
        <v>0.02259413392</v>
      </c>
      <c r="D26" s="45">
        <f t="shared" si="22"/>
        <v>0.06666118921</v>
      </c>
      <c r="E26" s="42"/>
      <c r="F26" s="4"/>
      <c r="G26" s="7"/>
      <c r="H26" s="7"/>
      <c r="I26" s="7"/>
      <c r="J26" s="7"/>
      <c r="K26" s="43" t="s">
        <v>53</v>
      </c>
      <c r="L26" s="5" t="b">
        <v>0</v>
      </c>
      <c r="M26" s="30" t="b">
        <v>0</v>
      </c>
      <c r="N26" s="46" t="b">
        <v>1</v>
      </c>
      <c r="O26" s="46" t="b">
        <v>1</v>
      </c>
      <c r="Z26" s="15" t="s">
        <v>54</v>
      </c>
      <c r="AA26" s="8" t="b">
        <v>1</v>
      </c>
      <c r="AB26" s="8" t="b">
        <v>1</v>
      </c>
      <c r="AC26" s="8" t="b">
        <v>1</v>
      </c>
      <c r="AD26" s="8" t="b">
        <v>1</v>
      </c>
      <c r="AE26" s="8" t="b">
        <v>1</v>
      </c>
    </row>
    <row r="27">
      <c r="A27" s="11" t="s">
        <v>51</v>
      </c>
      <c r="B27" s="45">
        <f>TTEST(B17:B22, 'Summary (ELD)'!B17:B22, 1, 1)</f>
        <v>0.0001110597495</v>
      </c>
      <c r="C27" s="45">
        <f>TTEST(C17:C22, 'Summary (ELD)'!C17:C22, 1, 1)</f>
        <v>0.0009112430841</v>
      </c>
      <c r="D27" s="45">
        <f>TTEST(D17:D22, 'Summary (ELD)'!D17:D22, 1, 1)</f>
        <v>0.05295061483</v>
      </c>
      <c r="E27" s="45">
        <f>TTEST(E17:E22, 'Summary (ELD)'!E17:E22, 1, 1)</f>
        <v>0.3355474725</v>
      </c>
      <c r="J27" s="5"/>
      <c r="K27" s="48"/>
    </row>
    <row r="28">
      <c r="A28" s="43" t="s">
        <v>53</v>
      </c>
      <c r="B28" s="46" t="b">
        <v>1</v>
      </c>
      <c r="C28" s="46" t="b">
        <v>1</v>
      </c>
      <c r="D28" s="46" t="b">
        <v>1</v>
      </c>
      <c r="E28" s="46" t="b">
        <v>1</v>
      </c>
      <c r="F28" s="4"/>
      <c r="G28" s="4"/>
      <c r="H28" s="4"/>
      <c r="I28" s="4"/>
      <c r="J28" s="5"/>
      <c r="K28" s="48"/>
    </row>
    <row r="29">
      <c r="A29" s="1"/>
      <c r="B29" s="15" t="s">
        <v>56</v>
      </c>
      <c r="F29" s="4"/>
      <c r="G29" s="4"/>
      <c r="H29" s="4"/>
      <c r="I29" s="4"/>
      <c r="J29" s="5"/>
      <c r="K29" s="48"/>
      <c r="L29" s="49">
        <v>25000.0</v>
      </c>
      <c r="U29" s="49">
        <v>25000.0</v>
      </c>
      <c r="AA29" s="49">
        <v>25000.0</v>
      </c>
      <c r="AG29" s="49">
        <v>25000.0</v>
      </c>
    </row>
    <row r="30">
      <c r="A30" s="1" t="s">
        <v>17</v>
      </c>
      <c r="B30" s="17">
        <f t="shared" ref="B30:E30" si="23">IF(B4, 2*B4*B17/(B4+B17), "")</f>
        <v>0.5217391304</v>
      </c>
      <c r="C30" s="17">
        <f t="shared" si="23"/>
        <v>0.6887417219</v>
      </c>
      <c r="D30" s="17">
        <f t="shared" si="23"/>
        <v>0.7095435685</v>
      </c>
      <c r="E30" s="17">
        <f t="shared" si="23"/>
        <v>0.6557377049</v>
      </c>
      <c r="F30" s="4"/>
      <c r="G30" s="4"/>
      <c r="H30" s="4"/>
      <c r="I30" s="4"/>
      <c r="J30" s="5"/>
      <c r="K30" s="48"/>
      <c r="L30" s="17">
        <f t="array" ref="L30">INDEX(INDIRECT(INDEX($H$4,0) &amp; "!$D$14"),0)</f>
        <v>1</v>
      </c>
      <c r="M30" s="17">
        <f t="array" ref="M30">INDEX(INDIRECT(INDEX($H$4,0) &amp; "!$D$15"),0)</f>
        <v>0.3333333333</v>
      </c>
      <c r="N30" s="17">
        <f t="array" ref="N30">INDEX(INDIRECT(INDEX($H$4,0) &amp; "!$D$16"),0)</f>
        <v>0.5</v>
      </c>
      <c r="O30" s="17">
        <f t="array" ref="O30">INDEX(INDIRECT(INDEX($H$4,0) &amp; "!$D$17"),0)</f>
        <v>0.5</v>
      </c>
      <c r="P30" s="20">
        <f t="array" ref="P30">SUM(L30:O30*U30:X30)/Y30</f>
        <v>0.5714285714</v>
      </c>
      <c r="Q30" s="21">
        <f t="array" ref="Q30">SUM(L30:N30*U30:W30)/SUM(U30:W30)</f>
        <v>0.6</v>
      </c>
      <c r="R30" s="17">
        <f t="shared" ref="R30:R35" si="25">(L30*U30+M30*V30+O30*X30)/(U30+V30+X30)</f>
        <v>0.6</v>
      </c>
      <c r="S30" s="21">
        <f t="array" ref="S30">SUM(L30:M30*U30:V30)/SUM(U30:V30)</f>
        <v>0.6666666667</v>
      </c>
      <c r="U30" s="23">
        <f t="array" ref="U30">INDEX(INDIRECT(INDEX($H$4,0) &amp; "!$C$14"),0)</f>
        <v>3</v>
      </c>
      <c r="V30" s="23">
        <f t="array" ref="V30">INDEX(INDIRECT(INDEX($H$4,0) &amp; "!$C$15"),0)</f>
        <v>3</v>
      </c>
      <c r="W30" s="23">
        <f t="array" ref="W30">INDEX(INDIRECT(INDEX($H$4,0) &amp; "!$C$16"),0)</f>
        <v>4</v>
      </c>
      <c r="X30" s="23">
        <f t="array" ref="X30">INDEX(INDIRECT(INDEX($H$4,0) &amp; "!$C$17"),0)</f>
        <v>4</v>
      </c>
      <c r="Y30" s="24">
        <f t="shared" ref="Y30:Y36" si="26">SUM(U30:X30)</f>
        <v>14</v>
      </c>
      <c r="AA30" s="17">
        <f t="array" ref="AA30">INDEX(INDIRECT(INDEX($H$4,0) &amp; "!$D$2"),0)</f>
        <v>0</v>
      </c>
      <c r="AB30" s="17">
        <f t="array" ref="AB30">INDEX(INDIRECT(INDEX($H$4,0) &amp; "!$D$3"),0)</f>
        <v>0.06666666667</v>
      </c>
      <c r="AC30" s="17">
        <f t="array" ref="AC30">INDEX(INDIRECT(INDEX($H$4,0) &amp; "!$D$4"),0)</f>
        <v>0.06666666667</v>
      </c>
      <c r="AD30" s="17">
        <f t="array" ref="AD30">INDEX(INDIRECT(INDEX($H$4,0) &amp; "!$D$5"),0)</f>
        <v>0.4666666667</v>
      </c>
      <c r="AE30" s="17">
        <f t="array" ref="AE30">INDEX(INDIRECT(INDEX($H$4,0) &amp; "!$D$6"),0)</f>
        <v>0.4</v>
      </c>
      <c r="AG30" s="25">
        <f t="array" ref="AG30">INDEX(INDIRECT(INDEX($H$4,0) &amp; "!$C$2"),0)</f>
        <v>0</v>
      </c>
      <c r="AH30" s="25">
        <f t="array" ref="AH30">INDEX(INDIRECT(INDEX($H$4,0) &amp; "!$C$3"),0)</f>
        <v>1</v>
      </c>
      <c r="AI30" s="25">
        <f t="array" ref="AI30">INDEX(INDIRECT(INDEX($H$4,0) &amp; "!$C$4"),0)</f>
        <v>1</v>
      </c>
      <c r="AJ30" s="25">
        <f t="array" ref="AJ30">INDEX(INDIRECT(INDEX($H$4,0) &amp; "!$C$5"),0)</f>
        <v>7</v>
      </c>
      <c r="AK30" s="25">
        <f t="array" ref="AK30">INDEX(INDIRECT(INDEX($H$4,0) &amp; "!$C$6"),0)</f>
        <v>6</v>
      </c>
      <c r="AL30" s="26">
        <f t="shared" ref="AL30:AL36" si="27">SUM(AG30:AK30)</f>
        <v>15</v>
      </c>
    </row>
    <row r="31">
      <c r="A31" s="1" t="s">
        <v>22</v>
      </c>
      <c r="B31" s="17">
        <f t="shared" ref="B31:E31" si="24">IF(B5, 2*B5*B18/(B5+B18), "")</f>
        <v>0.5714285714</v>
      </c>
      <c r="C31" s="21">
        <f t="shared" si="24"/>
        <v>0.4444444444</v>
      </c>
      <c r="D31" s="21">
        <f t="shared" si="24"/>
        <v>0.4506437768</v>
      </c>
      <c r="E31" s="21">
        <f t="shared" si="24"/>
        <v>0.571440816</v>
      </c>
      <c r="F31" s="4"/>
      <c r="G31" s="4"/>
      <c r="H31" s="4"/>
      <c r="I31" s="4"/>
      <c r="J31" s="5"/>
      <c r="K31" s="48"/>
      <c r="L31" s="17">
        <f t="array" ref="L31">INDEX(INDIRECT(INDEX($H$5,0) &amp; "!$D$14"),0)</f>
        <v>1</v>
      </c>
      <c r="M31" s="17">
        <f t="array" ref="M31">INDEX(INDIRECT(INDEX($H$5,0) &amp; "!$D$15"),0)</f>
        <v>0</v>
      </c>
      <c r="N31" s="17">
        <f t="array" ref="N31">INDEX(INDIRECT(INDEX($H$5,0) &amp; "!$D$16"),0)</f>
        <v>0.25</v>
      </c>
      <c r="O31" s="17">
        <f t="array" ref="O31">INDEX(INDIRECT(INDEX($H$5,0) &amp; "!$D$17"),0)</f>
        <v>0.2222222222</v>
      </c>
      <c r="P31" s="20">
        <f t="array" ref="P31">SUM(L31:O31*U31:X31)/Y31</f>
        <v>0.3333333333</v>
      </c>
      <c r="Q31" s="21">
        <f t="array" ref="Q31">SUM(L31:N31*U31:W31)/SUM(U31:W31)</f>
        <v>0.4444444444</v>
      </c>
      <c r="R31" s="17">
        <f t="shared" si="25"/>
        <v>0.3571428571</v>
      </c>
      <c r="S31" s="21">
        <f t="array" ref="S31">SUM(L31:M31*U31:V31)/SUM(U31:V31)</f>
        <v>0.6</v>
      </c>
      <c r="T31" s="27"/>
      <c r="U31" s="23">
        <f t="array" ref="U31">INDEX(INDIRECT(INDEX($H$5,0) &amp; "!$C$14"),0)</f>
        <v>3</v>
      </c>
      <c r="V31" s="23">
        <f t="array" ref="V31">INDEX(INDIRECT(INDEX($H$5,0) &amp; "!$C$15"),0)</f>
        <v>2</v>
      </c>
      <c r="W31" s="23">
        <f t="array" ref="W31">INDEX(INDIRECT(INDEX($H$5,0) &amp; "!$C$16"),0)</f>
        <v>4</v>
      </c>
      <c r="X31" s="23">
        <f t="array" ref="X31">INDEX(INDIRECT(INDEX($H$5,0) &amp; "!$C$17"),0)</f>
        <v>9</v>
      </c>
      <c r="Y31" s="24">
        <f t="shared" si="26"/>
        <v>18</v>
      </c>
      <c r="Z31" s="21"/>
      <c r="AA31" s="17">
        <f t="array" ref="AA31">INDEX(INDIRECT(INDEX($H$5,0) &amp; "!$D$2"),0)</f>
        <v>0.1428571429</v>
      </c>
      <c r="AB31" s="17">
        <f t="array" ref="AB31">INDEX(INDIRECT(INDEX($H$5,0) &amp; "!$D$3"),0)</f>
        <v>0.09523809524</v>
      </c>
      <c r="AC31" s="17">
        <f t="array" ref="AC31">INDEX(INDIRECT(INDEX($H$5,0) &amp; "!$D$4"),0)</f>
        <v>0.09523809524</v>
      </c>
      <c r="AD31" s="17">
        <f t="array" ref="AD31">INDEX(INDIRECT(INDEX($H$5,0) &amp; "!$D$5"),0)</f>
        <v>0.2380952381</v>
      </c>
      <c r="AE31" s="17">
        <f t="array" ref="AE31">INDEX(INDIRECT(INDEX($H$5,0) &amp; "!$D$6"),0)</f>
        <v>0.4285714286</v>
      </c>
      <c r="AG31" s="25">
        <f t="array" ref="AG31">INDEX(INDIRECT(INDEX($H$5,0) &amp; "!$C$2"),0)</f>
        <v>3</v>
      </c>
      <c r="AH31" s="25">
        <f t="array" ref="AH31">INDEX(INDIRECT(INDEX($H$5,0) &amp; "!$C$3"),0)</f>
        <v>2</v>
      </c>
      <c r="AI31" s="25">
        <f t="array" ref="AI31">INDEX(INDIRECT(INDEX($H$5,0) &amp; "!$C$4"),0)</f>
        <v>2</v>
      </c>
      <c r="AJ31" s="25">
        <f t="array" ref="AJ31">INDEX(INDIRECT(INDEX($H$5,0) &amp; "!$C$5"),0)</f>
        <v>5</v>
      </c>
      <c r="AK31" s="25">
        <f t="array" ref="AK31">INDEX(INDIRECT(INDEX($H$5,0) &amp; "!$C$6"),0)</f>
        <v>9</v>
      </c>
      <c r="AL31" s="26">
        <f t="shared" si="27"/>
        <v>21</v>
      </c>
    </row>
    <row r="32">
      <c r="A32" s="1" t="s">
        <v>27</v>
      </c>
      <c r="B32" s="17">
        <f t="shared" ref="B32:E32" si="28">IF(B6, 2*B6*B19/(B6+B19), "")</f>
        <v>0.5901639344</v>
      </c>
      <c r="C32" s="21">
        <f t="shared" si="28"/>
        <v>0.694214876</v>
      </c>
      <c r="D32" s="21">
        <f t="shared" si="28"/>
        <v>0.6829268293</v>
      </c>
      <c r="E32" s="21">
        <f t="shared" si="28"/>
        <v>0.7059010376</v>
      </c>
      <c r="F32" s="4"/>
      <c r="G32" s="4"/>
      <c r="H32" s="4"/>
      <c r="I32" s="4"/>
      <c r="J32" s="5"/>
      <c r="K32" s="48"/>
      <c r="L32" s="17">
        <f t="array" ref="L32">INDEX(INDIRECT(INDEX($H$6,0) &amp; "!$D$14"),0)</f>
        <v>0.6666666667</v>
      </c>
      <c r="M32" s="17">
        <f t="array" ref="M32">INDEX(INDIRECT(INDEX($H$6,0) &amp; "!$D$15"),0)</f>
        <v>1</v>
      </c>
      <c r="N32" s="17">
        <f t="array" ref="N32">INDEX(INDIRECT(INDEX($H$6,0) &amp; "!$D$16"),0)</f>
        <v>0.75</v>
      </c>
      <c r="O32" s="17">
        <f t="array" ref="O32">INDEX(INDIRECT(INDEX($H$6,0) &amp; "!$D$17"),0)</f>
        <v>0.5</v>
      </c>
      <c r="P32" s="20">
        <f t="array" ref="P32">SUM(L32:O32*U32:X32)/Y32</f>
        <v>0.6666666667</v>
      </c>
      <c r="Q32" s="21">
        <f t="array" ref="Q32">SUM(L32:N32*U32:W32)/SUM(U32:W32)</f>
        <v>0.8</v>
      </c>
      <c r="R32" s="17">
        <f t="shared" si="25"/>
        <v>0.6428571429</v>
      </c>
      <c r="S32" s="21">
        <f t="array" ref="S32">SUM(L32:M32*U32:V32)/SUM(U32:V32)</f>
        <v>0.8333333333</v>
      </c>
      <c r="T32" s="27"/>
      <c r="U32" s="23">
        <f t="array" ref="U32">INDEX(INDIRECT(INDEX($H$6,0) &amp; "!$C$14"),0)</f>
        <v>3</v>
      </c>
      <c r="V32" s="23">
        <f t="array" ref="V32">INDEX(INDIRECT(INDEX($H$6,0) &amp; "!$C$15"),0)</f>
        <v>3</v>
      </c>
      <c r="W32" s="23">
        <f t="array" ref="W32">INDEX(INDIRECT(INDEX($H$6,0) &amp; "!$C$16"),0)</f>
        <v>4</v>
      </c>
      <c r="X32" s="23">
        <f t="array" ref="X32">INDEX(INDIRECT(INDEX($H$6,0) &amp; "!$C$17"),0)</f>
        <v>8</v>
      </c>
      <c r="Y32" s="24">
        <f t="shared" si="26"/>
        <v>18</v>
      </c>
      <c r="Z32" s="21"/>
      <c r="AA32" s="17">
        <f t="array" ref="AA32">INDEX(INDIRECT(INDEX($H$6,0) &amp; "!$D$2"),0)</f>
        <v>0</v>
      </c>
      <c r="AB32" s="17">
        <f t="array" ref="AB32">INDEX(INDIRECT(INDEX($H$6,0) &amp; "!$D$3"),0)</f>
        <v>0.1034482759</v>
      </c>
      <c r="AC32" s="17">
        <f t="array" ref="AC32">INDEX(INDIRECT(INDEX($H$6,0) &amp; "!$D$4"),0)</f>
        <v>0.1724137931</v>
      </c>
      <c r="AD32" s="17">
        <f t="array" ref="AD32">INDEX(INDIRECT(INDEX($H$6,0) &amp; "!$D$5"),0)</f>
        <v>0.3793103448</v>
      </c>
      <c r="AE32" s="17">
        <f t="array" ref="AE32">INDEX(INDIRECT(INDEX($H$6,0) &amp; "!$D$6"),0)</f>
        <v>0.3448275862</v>
      </c>
      <c r="AG32" s="25">
        <f t="array" ref="AG32">INDEX(INDIRECT(INDEX($H$6,0) &amp; "!$C$2"),0)</f>
        <v>0</v>
      </c>
      <c r="AH32" s="25">
        <f t="array" ref="AH32">INDEX(INDIRECT(INDEX($H$6,0) &amp; "!$C$3"),0)</f>
        <v>3</v>
      </c>
      <c r="AI32" s="25">
        <f t="array" ref="AI32">INDEX(INDIRECT(INDEX($H$6,0) &amp; "!$C$4"),0)</f>
        <v>5</v>
      </c>
      <c r="AJ32" s="25">
        <f t="array" ref="AJ32">INDEX(INDIRECT(INDEX($H$6,0) &amp; "!$C$5"),0)</f>
        <v>11</v>
      </c>
      <c r="AK32" s="25">
        <f t="array" ref="AK32">INDEX(INDIRECT(INDEX($H$6,0) &amp; "!$C$6"),0)</f>
        <v>10</v>
      </c>
      <c r="AL32" s="26">
        <f t="shared" si="27"/>
        <v>29</v>
      </c>
    </row>
    <row r="33">
      <c r="A33" s="1" t="s">
        <v>32</v>
      </c>
      <c r="B33" s="17">
        <f t="shared" ref="B33:E33" si="29">IF(B7, 2*B7*B20/(B7+B20), "")</f>
        <v>0.4417767107</v>
      </c>
      <c r="C33" s="21">
        <f t="shared" si="29"/>
        <v>0.4833068362</v>
      </c>
      <c r="D33" s="21">
        <f t="shared" si="29"/>
        <v>0.4931506849</v>
      </c>
      <c r="E33" s="21">
        <f t="shared" si="29"/>
        <v>0.5405405405</v>
      </c>
      <c r="F33" s="4"/>
      <c r="G33" s="4"/>
      <c r="H33" s="4"/>
      <c r="I33" s="4"/>
      <c r="J33" s="5"/>
      <c r="K33" s="21"/>
      <c r="L33" s="17">
        <f t="array" ref="L33">INDEX(INDIRECT(INDEX($H$7,0) &amp; "!$D$14"),0)</f>
        <v>1</v>
      </c>
      <c r="M33" s="17">
        <f t="array" ref="M33">INDEX(INDIRECT(INDEX($H$7,0) &amp; "!$D$15"),0)</f>
        <v>0.4285714286</v>
      </c>
      <c r="N33" s="17">
        <f t="array" ref="N33">INDEX(INDIRECT(INDEX($H$7,0) &amp; "!$D$16"),0)</f>
        <v>0.25</v>
      </c>
      <c r="O33" s="17">
        <f t="array" ref="O33">INDEX(INDIRECT(INDEX($H$7,0) &amp; "!$D$17"),0)</f>
        <v>0.1111111111</v>
      </c>
      <c r="P33" s="20">
        <f t="array" ref="P33">SUM(L33:O33*U33:X33)/Y33</f>
        <v>0.347826087</v>
      </c>
      <c r="Q33" s="21">
        <f t="array" ref="Q33">SUM(L33:N33*U33:W33)/SUM(U33:W33)</f>
        <v>0.5</v>
      </c>
      <c r="R33" s="17">
        <f t="shared" si="25"/>
        <v>0.3684210526</v>
      </c>
      <c r="S33" s="21">
        <f t="array" ref="S33">SUM(L33:M33*U33:V33)/SUM(U33:V33)</f>
        <v>0.6</v>
      </c>
      <c r="T33" s="27"/>
      <c r="U33" s="23">
        <f t="array" ref="U33">INDEX(INDIRECT(INDEX($H$7,0) &amp; "!$C$14"),0)</f>
        <v>3</v>
      </c>
      <c r="V33" s="23">
        <f t="array" ref="V33">INDEX(INDIRECT(INDEX($H$7,0) &amp; "!$C$15"),0)</f>
        <v>7</v>
      </c>
      <c r="W33" s="23">
        <f t="array" ref="W33">INDEX(INDIRECT(INDEX($H$7,0) &amp; "!$C$16"),0)</f>
        <v>4</v>
      </c>
      <c r="X33" s="23">
        <f t="array" ref="X33">INDEX(INDIRECT(INDEX($H$7,0) &amp; "!$C$17"),0)</f>
        <v>9</v>
      </c>
      <c r="Y33" s="24">
        <f t="shared" si="26"/>
        <v>23</v>
      </c>
      <c r="Z33" s="21"/>
      <c r="AA33" s="17">
        <f t="array" ref="AA33">INDEX(INDIRECT(INDEX($H$7,0) &amp; "!$D$2"),0)</f>
        <v>0.125</v>
      </c>
      <c r="AB33" s="17">
        <f t="array" ref="AB33">INDEX(INDIRECT(INDEX($H$7,0) &amp; "!$D$3"),0)</f>
        <v>0</v>
      </c>
      <c r="AC33" s="17">
        <f t="array" ref="AC33">INDEX(INDIRECT(INDEX($H$7,0) &amp; "!$D$4"),0)</f>
        <v>0.08333333333</v>
      </c>
      <c r="AD33" s="17">
        <f t="array" ref="AD33">INDEX(INDIRECT(INDEX($H$7,0) &amp; "!$D$5"),0)</f>
        <v>0.3333333333</v>
      </c>
      <c r="AE33" s="17">
        <f t="array" ref="AE33">INDEX(INDIRECT(INDEX($H$7,0) &amp; "!$D$6"),0)</f>
        <v>0.4583333333</v>
      </c>
      <c r="AG33" s="25">
        <f t="array" ref="AG33">INDEX(INDIRECT(INDEX($H$7,0) &amp; "!$C$2"),0)</f>
        <v>3</v>
      </c>
      <c r="AH33" s="25">
        <f t="array" ref="AH33">INDEX(INDIRECT(INDEX($H$7,0) &amp; "!$C$3"),0)</f>
        <v>0</v>
      </c>
      <c r="AI33" s="25">
        <f t="array" ref="AI33">INDEX(INDIRECT(INDEX($H$7,0) &amp; "!$C$4"),0)</f>
        <v>2</v>
      </c>
      <c r="AJ33" s="25">
        <f t="array" ref="AJ33">INDEX(INDIRECT(INDEX($H$7,0) &amp; "!$C$5"),0)</f>
        <v>8</v>
      </c>
      <c r="AK33" s="25">
        <f t="array" ref="AK33">INDEX(INDIRECT(INDEX($H$7,0) &amp; "!$C$6"),0)</f>
        <v>11</v>
      </c>
      <c r="AL33" s="26">
        <f t="shared" si="27"/>
        <v>24</v>
      </c>
    </row>
    <row r="34">
      <c r="A34" s="13" t="s">
        <v>37</v>
      </c>
      <c r="B34" s="17">
        <f t="shared" ref="B34:E34" si="30">IF(B8, 2*B8*B21/(B8+B21), "")</f>
        <v>0.4615384615</v>
      </c>
      <c r="C34" s="21">
        <f t="shared" si="30"/>
        <v>0.4352331606</v>
      </c>
      <c r="D34" s="21">
        <f t="shared" si="30"/>
        <v>0.5</v>
      </c>
      <c r="E34" s="21">
        <f t="shared" si="30"/>
        <v>0.6640625</v>
      </c>
      <c r="F34" s="4"/>
      <c r="G34" s="4"/>
      <c r="H34" s="4"/>
      <c r="I34" s="4"/>
      <c r="J34" s="30"/>
      <c r="K34" s="21"/>
      <c r="L34" s="17">
        <f t="array" ref="L34">INDEX(INDIRECT(INDEX($H$8,0) &amp; "!$D$14"),0)</f>
        <v>1</v>
      </c>
      <c r="M34" s="17">
        <f t="array" ref="M34">INDEX(INDIRECT(INDEX($H$8,0) &amp; "!$D$15"),0)</f>
        <v>0</v>
      </c>
      <c r="N34" s="17">
        <f t="array" ref="N34">INDEX(INDIRECT(INDEX($H$8,0) &amp; "!$D$16"),0)</f>
        <v>0.25</v>
      </c>
      <c r="O34" s="17">
        <f t="array" ref="O34">INDEX(INDIRECT(INDEX($H$8,0) &amp; "!$D$17"),0)</f>
        <v>0.3</v>
      </c>
      <c r="P34" s="20">
        <f t="array" ref="P34">SUM(L34:O34*U34:X34)/Y34</f>
        <v>0.375</v>
      </c>
      <c r="Q34" s="21">
        <f t="array" ref="Q34">SUM(L34:N34*U34:W34)/SUM(U34:W34)</f>
        <v>0.5</v>
      </c>
      <c r="R34" s="17">
        <f t="shared" si="25"/>
        <v>0.4166666667</v>
      </c>
      <c r="S34" s="21">
        <f t="array" ref="S34">SUM(L34:M34*U34:V34)/SUM(U34:V34)</f>
        <v>1</v>
      </c>
      <c r="T34" s="27"/>
      <c r="U34" s="23">
        <f t="array" ref="U34">INDEX(INDIRECT(INDEX($H$8,0) &amp; "!$C$14"),0)</f>
        <v>2</v>
      </c>
      <c r="V34" s="23">
        <f t="array" ref="V34">INDEX(INDIRECT(INDEX($H$8,0) &amp; "!$C$15"),0)</f>
        <v>0</v>
      </c>
      <c r="W34" s="23">
        <f t="array" ref="W34">INDEX(INDIRECT(INDEX($H$8,0) &amp; "!$C$16"),0)</f>
        <v>4</v>
      </c>
      <c r="X34" s="23">
        <f t="array" ref="X34">INDEX(INDIRECT(INDEX($H$8,0) &amp; "!$C$17"),0)</f>
        <v>10</v>
      </c>
      <c r="Y34" s="24">
        <f t="shared" si="26"/>
        <v>16</v>
      </c>
      <c r="Z34" s="21"/>
      <c r="AA34" s="17">
        <f t="array" ref="AA34">INDEX(INDIRECT(INDEX($H$8,0) &amp; "!$D$2"),0)</f>
        <v>0.07407407407</v>
      </c>
      <c r="AB34" s="17">
        <f t="array" ref="AB34">INDEX(INDIRECT(INDEX($H$8,0) &amp; "!$D$3"),0)</f>
        <v>0.1851851852</v>
      </c>
      <c r="AC34" s="17">
        <f t="array" ref="AC34">INDEX(INDIRECT(INDEX($H$8,0) &amp; "!$D$4"),0)</f>
        <v>0.2222222222</v>
      </c>
      <c r="AD34" s="17">
        <f t="array" ref="AD34">INDEX(INDIRECT(INDEX($H$8,0) &amp; "!$D$5"),0)</f>
        <v>0.1851851852</v>
      </c>
      <c r="AE34" s="17">
        <f t="array" ref="AE34">INDEX(INDIRECT(INDEX($H$8,0) &amp; "!$D$6"),0)</f>
        <v>0.3333333333</v>
      </c>
      <c r="AG34" s="25">
        <f t="array" ref="AG34">INDEX(INDIRECT(INDEX($H$8,0) &amp; "!$C$2"),0)</f>
        <v>2</v>
      </c>
      <c r="AH34" s="25">
        <f t="array" ref="AH34">INDEX(INDIRECT(INDEX($H$8,0) &amp; "!$C$3"),0)</f>
        <v>5</v>
      </c>
      <c r="AI34" s="25">
        <f t="array" ref="AI34">INDEX(INDIRECT(INDEX($H$8,0) &amp; "!$C$4"),0)</f>
        <v>6</v>
      </c>
      <c r="AJ34" s="25">
        <f t="array" ref="AJ34">INDEX(INDIRECT(INDEX($H$8,0) &amp; "!$C$5"),0)</f>
        <v>5</v>
      </c>
      <c r="AK34" s="25">
        <f t="array" ref="AK34">INDEX(INDIRECT(INDEX($H$8,0) &amp; "!$C$6"),0)</f>
        <v>9</v>
      </c>
      <c r="AL34" s="26">
        <f t="shared" si="27"/>
        <v>27</v>
      </c>
    </row>
    <row r="35">
      <c r="A35" s="13" t="s">
        <v>42</v>
      </c>
      <c r="B35" s="17">
        <f t="shared" ref="B35:E35" si="31">IF(B9, 2*B9*B22/(B9+B22), "")</f>
        <v>0.4337349398</v>
      </c>
      <c r="C35" s="17">
        <f t="shared" si="31"/>
        <v>0.525</v>
      </c>
      <c r="D35" s="21">
        <f t="shared" si="31"/>
        <v>0.496350365</v>
      </c>
      <c r="E35" s="17">
        <f t="shared" si="31"/>
        <v>0.6355932203</v>
      </c>
      <c r="F35" s="4"/>
      <c r="G35" s="4"/>
      <c r="H35" s="4"/>
      <c r="I35" s="4"/>
      <c r="J35" s="5"/>
      <c r="K35" s="21"/>
      <c r="L35" s="17">
        <f t="array" ref="L35">INDEX(INDIRECT(INDEX($H$9,0) &amp; "!$D$14"),0)</f>
        <v>1</v>
      </c>
      <c r="M35" s="17">
        <f t="array" ref="M35">INDEX(INDIRECT(INDEX($H$9,0) &amp; "!$D$15"),0)</f>
        <v>0</v>
      </c>
      <c r="N35" s="17">
        <f t="array" ref="N35">INDEX(INDIRECT(INDEX($H$9,0) &amp; "!$D$16"),0)</f>
        <v>0.5</v>
      </c>
      <c r="O35" s="17">
        <f t="array" ref="O35">INDEX(INDIRECT(INDEX($H$9,0) &amp; "!$D$17"),0)</f>
        <v>0.4285714286</v>
      </c>
      <c r="P35" s="20">
        <f t="array" ref="P35">SUM(L35:O35*U35:X35)/Y35</f>
        <v>0.4666666667</v>
      </c>
      <c r="Q35" s="21">
        <f t="array" ref="Q35">SUM(L35:N35*U35:W35)/SUM(U35:W35)</f>
        <v>0.5</v>
      </c>
      <c r="R35" s="17">
        <f t="shared" si="25"/>
        <v>0.4545454545</v>
      </c>
      <c r="S35" s="21">
        <f t="array" ref="S35">SUM(L35:M35*U35:V35)/SUM(U35:V35)</f>
        <v>0.5</v>
      </c>
      <c r="T35" s="27"/>
      <c r="U35" s="23">
        <f t="array" ref="U35">INDEX(INDIRECT(INDEX($H$9,0) &amp; "!$C$14"),0)</f>
        <v>2</v>
      </c>
      <c r="V35" s="23">
        <f t="array" ref="V35">INDEX(INDIRECT(INDEX($H$9,0) &amp; "!$C$15"),0)</f>
        <v>2</v>
      </c>
      <c r="W35" s="23">
        <f t="array" ref="W35">INDEX(INDIRECT(INDEX($H$9,0) &amp; "!$C$16"),0)</f>
        <v>4</v>
      </c>
      <c r="X35" s="23">
        <f t="array" ref="X35">INDEX(INDIRECT(INDEX($H$9,0) &amp; "!$C$17"),0)</f>
        <v>7</v>
      </c>
      <c r="Y35" s="24">
        <f t="shared" si="26"/>
        <v>15</v>
      </c>
      <c r="Z35" s="21"/>
      <c r="AA35" s="17">
        <f t="array" ref="AA35">INDEX(INDIRECT(INDEX($H$9,0) &amp; "!$D$2"),0)</f>
        <v>0.12</v>
      </c>
      <c r="AB35" s="17">
        <f t="array" ref="AB35">INDEX(INDIRECT(INDEX($H$9,0) &amp; "!$D$3"),0)</f>
        <v>0.12</v>
      </c>
      <c r="AC35" s="17">
        <f t="array" ref="AC35">INDEX(INDIRECT(INDEX($H$9,0) &amp; "!$D$4"),0)</f>
        <v>0.16</v>
      </c>
      <c r="AD35" s="17">
        <f t="array" ref="AD35">INDEX(INDIRECT(INDEX($H$9,0) &amp; "!$D$5"),0)</f>
        <v>0.24</v>
      </c>
      <c r="AE35" s="17">
        <f t="array" ref="AE35">INDEX(INDIRECT(INDEX($H$9,0) &amp; "!$D$6"),0)</f>
        <v>0.36</v>
      </c>
      <c r="AG35" s="25">
        <f t="array" ref="AG35">INDEX(INDIRECT(INDEX($H$9,0) &amp; "!$C$2"),0)</f>
        <v>3</v>
      </c>
      <c r="AH35" s="25">
        <f t="array" ref="AH35">INDEX(INDIRECT(INDEX($H$9,0) &amp; "!$C$3"),0)</f>
        <v>3</v>
      </c>
      <c r="AI35" s="25">
        <f t="array" ref="AI35">INDEX(INDIRECT(INDEX($H$9,0) &amp; "!$C$4"),0)</f>
        <v>4</v>
      </c>
      <c r="AJ35" s="25">
        <f t="array" ref="AJ35">INDEX(INDIRECT(INDEX($H$9,0) &amp; "!$C$5"),0)</f>
        <v>6</v>
      </c>
      <c r="AK35" s="25">
        <f t="array" ref="AK35">INDEX(INDIRECT(INDEX($H$9,0) &amp; "!$C$6"),0)</f>
        <v>9</v>
      </c>
      <c r="AL35" s="26">
        <f t="shared" si="27"/>
        <v>25</v>
      </c>
    </row>
    <row r="36">
      <c r="A36" s="28" t="s">
        <v>47</v>
      </c>
      <c r="B36" s="29">
        <f t="shared" ref="B36:E36" si="32">AVERAGE(B$30:B35)</f>
        <v>0.503396958</v>
      </c>
      <c r="C36" s="29">
        <f t="shared" si="32"/>
        <v>0.5451568399</v>
      </c>
      <c r="D36" s="29">
        <f t="shared" si="32"/>
        <v>0.5554358707</v>
      </c>
      <c r="E36" s="29">
        <f t="shared" si="32"/>
        <v>0.6288793032</v>
      </c>
      <c r="F36" s="39" t="s">
        <v>48</v>
      </c>
      <c r="G36" s="4"/>
      <c r="H36" s="4"/>
      <c r="I36" s="4"/>
      <c r="J36" s="5"/>
      <c r="K36" s="21"/>
      <c r="L36" s="29">
        <f t="shared" ref="L36:S36" si="33">AVERAGE(L30:L35)</f>
        <v>0.9444444444</v>
      </c>
      <c r="M36" s="31">
        <f t="shared" si="33"/>
        <v>0.2936507937</v>
      </c>
      <c r="N36" s="29">
        <f t="shared" si="33"/>
        <v>0.4166666667</v>
      </c>
      <c r="O36" s="31">
        <f t="shared" si="33"/>
        <v>0.3436507937</v>
      </c>
      <c r="P36" s="32">
        <f t="shared" si="33"/>
        <v>0.4601535542</v>
      </c>
      <c r="Q36" s="29">
        <f t="shared" si="33"/>
        <v>0.5574074074</v>
      </c>
      <c r="R36" s="31">
        <f t="shared" si="33"/>
        <v>0.4732721956</v>
      </c>
      <c r="S36" s="29">
        <f t="shared" si="33"/>
        <v>0.7</v>
      </c>
      <c r="T36" s="27"/>
      <c r="U36" s="34">
        <f t="shared" ref="U36:X36" si="34">SUM(U30:U35)</f>
        <v>16</v>
      </c>
      <c r="V36" s="34">
        <f t="shared" si="34"/>
        <v>17</v>
      </c>
      <c r="W36" s="34">
        <f t="shared" si="34"/>
        <v>24</v>
      </c>
      <c r="X36" s="34">
        <f t="shared" si="34"/>
        <v>47</v>
      </c>
      <c r="Y36" s="35">
        <f t="shared" si="26"/>
        <v>104</v>
      </c>
      <c r="Z36" s="21"/>
      <c r="AA36" s="29">
        <f t="shared" ref="AA36:AE36" si="35">AVERAGE(AA30:AA35)</f>
        <v>0.07698853616</v>
      </c>
      <c r="AB36" s="31">
        <f t="shared" si="35"/>
        <v>0.09508970383</v>
      </c>
      <c r="AC36" s="31">
        <f t="shared" si="35"/>
        <v>0.1333123518</v>
      </c>
      <c r="AD36" s="29">
        <f t="shared" si="35"/>
        <v>0.3070984614</v>
      </c>
      <c r="AE36" s="29">
        <f t="shared" si="35"/>
        <v>0.3875109469</v>
      </c>
      <c r="AG36" s="37">
        <f t="shared" ref="AG36:AK36" si="36">SUM(AG30:AG35)</f>
        <v>11</v>
      </c>
      <c r="AH36" s="37">
        <f t="shared" si="36"/>
        <v>14</v>
      </c>
      <c r="AI36" s="37">
        <f t="shared" si="36"/>
        <v>20</v>
      </c>
      <c r="AJ36" s="37">
        <f t="shared" si="36"/>
        <v>42</v>
      </c>
      <c r="AK36" s="37">
        <f t="shared" si="36"/>
        <v>54</v>
      </c>
      <c r="AL36" s="38">
        <f t="shared" si="27"/>
        <v>141</v>
      </c>
    </row>
    <row r="37">
      <c r="A37" s="11" t="s">
        <v>49</v>
      </c>
      <c r="B37" s="50"/>
      <c r="C37" s="50"/>
      <c r="D37" s="50"/>
      <c r="E37" s="50"/>
      <c r="F37" s="4"/>
      <c r="G37" s="5"/>
      <c r="H37" s="5"/>
      <c r="I37" s="5"/>
      <c r="J37" s="5"/>
      <c r="K37" s="21"/>
      <c r="L37" s="21">
        <f t="array" ref="L37">SUM(L30:L35*U30:U35)/U36</f>
        <v>0.9375</v>
      </c>
      <c r="M37" s="21">
        <f t="array" ref="M37">SUM(M30:M35*V30:V35)/V36</f>
        <v>0.4117647059</v>
      </c>
      <c r="N37" s="21">
        <f t="array" ref="N37">SUM(N30:N35*W30:W35)/W36</f>
        <v>0.4166666667</v>
      </c>
      <c r="O37" s="21">
        <f t="array" ref="O37">SUM(O30:O35*X30:X35)/X36</f>
        <v>0.3191489362</v>
      </c>
      <c r="P37" s="40">
        <f t="array" ref="P37">SUM(P30:P35*Y30:Y35)/Y36</f>
        <v>0.4519230769</v>
      </c>
      <c r="Q37" s="17">
        <f t="array" ref="Q37">SUM(Q30:Q35*Y30:Y35-X30:X35)/SUM(U36:W36)</f>
        <v>0.5614035088</v>
      </c>
      <c r="R37" s="41">
        <f t="array" ref="R37">SUM(R30:R35*Y30:Y35-W30:W35)/(SUM(U36:X36)-W36)</f>
        <v>0.4625</v>
      </c>
      <c r="S37" s="17">
        <f t="array" ref="S37">SUM(S30:S35*U30:U35+V30:V35)/SUM(U36:V36)</f>
        <v>0.6666666667</v>
      </c>
      <c r="T37" s="27"/>
      <c r="U37" s="27"/>
      <c r="V37" s="27"/>
      <c r="W37" s="27"/>
      <c r="X37" s="27"/>
      <c r="Z37" s="21"/>
      <c r="AA37" s="21">
        <f t="shared" ref="AA37:AE37" si="37">AG36/$AL36</f>
        <v>0.0780141844</v>
      </c>
      <c r="AB37" s="21">
        <f t="shared" si="37"/>
        <v>0.09929078014</v>
      </c>
      <c r="AC37" s="21">
        <f t="shared" si="37"/>
        <v>0.1418439716</v>
      </c>
      <c r="AD37" s="21">
        <f t="shared" si="37"/>
        <v>0.2978723404</v>
      </c>
      <c r="AE37" s="21">
        <f t="shared" si="37"/>
        <v>0.3829787234</v>
      </c>
      <c r="AF37" s="36">
        <f>SUM(AA37:AE37)</f>
        <v>1</v>
      </c>
    </row>
    <row r="38">
      <c r="A38" s="11" t="s">
        <v>50</v>
      </c>
      <c r="B38" s="17">
        <f t="shared" ref="B38:D38" si="38">B36-$E36</f>
        <v>-0.1254823452</v>
      </c>
      <c r="C38" s="17">
        <f t="shared" si="38"/>
        <v>-0.08372246337</v>
      </c>
      <c r="D38" s="17">
        <f t="shared" si="38"/>
        <v>-0.07344343249</v>
      </c>
      <c r="E38" s="42"/>
      <c r="F38" s="4"/>
      <c r="G38" s="5"/>
      <c r="H38" s="5"/>
      <c r="I38" s="5"/>
      <c r="J38" s="5"/>
      <c r="K38" s="43" t="s">
        <v>51</v>
      </c>
      <c r="L38" s="45">
        <f>TTEST(L30:L35, 'Summary (ELD)'!L30:L35, 1, 1)</f>
        <v>0.1816087338</v>
      </c>
      <c r="M38" s="44">
        <v>0.17971</v>
      </c>
      <c r="N38" s="45">
        <f>TTEST(N30:N35, 'Summary (ELD)'!N30:N35, 1, 1)</f>
        <v>0.006338301239</v>
      </c>
      <c r="O38" s="45">
        <f>TTEST(O30:O35, 'Summary (ELD)'!O30:O35, 1, 1)</f>
        <v>0.04300467418</v>
      </c>
      <c r="Z38" s="43" t="s">
        <v>51</v>
      </c>
      <c r="AA38" s="45">
        <f>TTEST(AA30:AA35, 'Summary (ELD)'!AA30:AA35, 1, 1)</f>
        <v>0.3521651823</v>
      </c>
      <c r="AB38" s="45">
        <f>TTEST(AB30:AB35, 'Summary (ELD)'!AB30:AB35, 1, 1)</f>
        <v>0.4407487089</v>
      </c>
      <c r="AC38" s="45">
        <f>TTEST(AC30:AC35, 'Summary (ELD)'!AC30:AC35, 1, 1)</f>
        <v>0.3303690657</v>
      </c>
      <c r="AD38" s="45">
        <f>TTEST(AD30:AD35, 'Summary (ELD)'!AD30:AD35, 1, 1)</f>
        <v>0.3183010529</v>
      </c>
      <c r="AE38" s="45">
        <f>TTEST(AE30:AE35, 'Summary (ELD)'!AE30:AE35, 1, 1)</f>
        <v>0.0796141616</v>
      </c>
    </row>
    <row r="39">
      <c r="A39" s="13" t="s">
        <v>52</v>
      </c>
      <c r="B39" s="45">
        <f t="shared" ref="B39:D39" si="39">TTEST(B30:B35, $E30:$E35, 1, 1)</f>
        <v>0.004775259164</v>
      </c>
      <c r="C39" s="45">
        <f t="shared" si="39"/>
        <v>0.03919338174</v>
      </c>
      <c r="D39" s="45">
        <f t="shared" si="39"/>
        <v>0.04080586866</v>
      </c>
      <c r="E39" s="42"/>
      <c r="F39" s="4"/>
      <c r="G39" s="5"/>
      <c r="H39" s="5"/>
      <c r="I39" s="5"/>
      <c r="J39" s="5"/>
      <c r="K39" s="43" t="s">
        <v>53</v>
      </c>
      <c r="L39" s="46" t="b">
        <v>1</v>
      </c>
      <c r="M39" s="30" t="b">
        <v>0</v>
      </c>
      <c r="N39" s="46" t="b">
        <v>1</v>
      </c>
      <c r="O39" s="46" t="b">
        <v>1</v>
      </c>
      <c r="Z39" s="15" t="s">
        <v>54</v>
      </c>
      <c r="AA39" s="8" t="b">
        <v>1</v>
      </c>
      <c r="AB39" s="8" t="b">
        <v>1</v>
      </c>
      <c r="AC39" s="8" t="b">
        <v>1</v>
      </c>
      <c r="AD39" s="8" t="b">
        <v>1</v>
      </c>
      <c r="AE39" s="8" t="b">
        <v>1</v>
      </c>
    </row>
    <row r="40">
      <c r="A40" s="11" t="s">
        <v>51</v>
      </c>
      <c r="B40" s="45">
        <f>TTEST(B30:B35, 'Summary (ELD)'!B30:B35, 1, 1)</f>
        <v>0.000987853806</v>
      </c>
      <c r="C40" s="45">
        <f>TTEST(C30:C35, 'Summary (ELD)'!C30:C35, 1, 1)</f>
        <v>0.0021539113</v>
      </c>
      <c r="D40" s="45">
        <f>TTEST(D30:D35, 'Summary (ELD)'!D30:D35, 1, 1)</f>
        <v>0.05186017356</v>
      </c>
      <c r="E40" s="44">
        <v>0.03125</v>
      </c>
      <c r="F40" s="4"/>
      <c r="G40" s="5"/>
      <c r="H40" s="5"/>
      <c r="I40" s="5"/>
      <c r="J40" s="5"/>
      <c r="K40" s="48"/>
    </row>
    <row r="41">
      <c r="A41" s="43" t="s">
        <v>53</v>
      </c>
      <c r="B41" s="46" t="b">
        <v>1</v>
      </c>
      <c r="C41" s="46" t="b">
        <v>1</v>
      </c>
      <c r="D41" s="46" t="b">
        <v>1</v>
      </c>
      <c r="E41" s="46" t="b">
        <v>0</v>
      </c>
      <c r="F41" s="4"/>
      <c r="G41" s="5"/>
      <c r="H41" s="5"/>
      <c r="I41" s="5"/>
      <c r="J41" s="5"/>
      <c r="K41" s="48"/>
    </row>
    <row r="42">
      <c r="A42" s="13"/>
      <c r="B42" s="8" t="s">
        <v>57</v>
      </c>
      <c r="G42" s="51" t="s">
        <v>58</v>
      </c>
      <c r="K42" s="48"/>
      <c r="L42" s="49">
        <v>10000.0</v>
      </c>
      <c r="U42" s="49">
        <v>10000.0</v>
      </c>
      <c r="AA42" s="49">
        <v>10000.0</v>
      </c>
      <c r="AG42" s="49">
        <v>10000.0</v>
      </c>
    </row>
    <row r="43">
      <c r="A43" s="1" t="s">
        <v>17</v>
      </c>
      <c r="B43" s="52">
        <f t="array" ref="B43:B48">INDEX(AL43:AL48,0)</f>
        <v>18</v>
      </c>
      <c r="C43" s="5">
        <f t="array" ref="C43:C48">INDEX(AL30:AL35,0)</f>
        <v>15</v>
      </c>
      <c r="D43" s="5">
        <f t="array" ref="D43:D48">INDEX(AL17:AL22,0)</f>
        <v>24</v>
      </c>
      <c r="E43" s="5">
        <f t="array" ref="E43:E48">INDEX(AL4:AL9,0)</f>
        <v>39</v>
      </c>
      <c r="G43" s="48">
        <f t="shared" ref="G43:J43" si="40">B43*B4</f>
        <v>12</v>
      </c>
      <c r="H43" s="53">
        <f t="shared" si="40"/>
        <v>13</v>
      </c>
      <c r="I43" s="53">
        <f t="shared" si="40"/>
        <v>19</v>
      </c>
      <c r="J43" s="53">
        <f t="shared" si="40"/>
        <v>30</v>
      </c>
      <c r="K43" s="48"/>
      <c r="L43" s="17">
        <f t="array" ref="L43">INDEX(INDIRECT(INDEX($G$4,0) &amp; "!$D$14"),0)</f>
        <v>0.6666666667</v>
      </c>
      <c r="M43" s="17">
        <f t="array" ref="M43">INDEX(INDIRECT(INDEX($G$4,0) &amp; "!$D$15"),0)</f>
        <v>0.3333333333</v>
      </c>
      <c r="N43" s="17">
        <f t="array" ref="N43">INDEX(INDIRECT(INDEX($G$4,0) &amp; "!$D$16"),0)</f>
        <v>0.5</v>
      </c>
      <c r="O43" s="17">
        <f t="array" ref="O43">INDEX(INDIRECT(INDEX($G$4,0) &amp; "!$D$17"),0)</f>
        <v>0.25</v>
      </c>
      <c r="P43" s="20">
        <f t="array" ref="P43">SUM(L43:O43*U43:X43)/Y43</f>
        <v>0.4285714286</v>
      </c>
      <c r="Q43" s="21">
        <f t="array" ref="Q43">SUM(L43:N43*U43:W43)/SUM(U43:W43)</f>
        <v>0.5</v>
      </c>
      <c r="R43" s="17">
        <f t="shared" ref="R43:R48" si="42">(L43*U43+M43*V43+O43*X43)/(U43+V43+X43)</f>
        <v>0.4</v>
      </c>
      <c r="S43" s="21">
        <f t="array" ref="S43">SUM(L43:M43*U43:V43)/SUM(U43:V43)</f>
        <v>0.5</v>
      </c>
      <c r="U43" s="23">
        <f t="array" ref="U43">INDEX(INDIRECT(INDEX($G$4,0) &amp; "!$C$14"),0)</f>
        <v>3</v>
      </c>
      <c r="V43" s="23">
        <f t="array" ref="V43">INDEX(INDIRECT(INDEX($G$4,0) &amp; "!$C$15"),0)</f>
        <v>3</v>
      </c>
      <c r="W43" s="23">
        <f t="array" ref="W43">INDEX(INDIRECT(INDEX($G$4,0) &amp; "!$C$16"),0)</f>
        <v>4</v>
      </c>
      <c r="X43" s="23">
        <f t="array" ref="X43">INDEX(INDIRECT(INDEX($G$4,0) &amp; "!$C$17"),0)</f>
        <v>4</v>
      </c>
      <c r="Y43" s="24">
        <f t="shared" ref="Y43:Y49" si="43">SUM(U43:X43)</f>
        <v>14</v>
      </c>
      <c r="AA43" s="17">
        <f t="array" ref="AA43">INDEX(INDIRECT(INDEX($G$4,0) &amp; "!$D$2"),0)</f>
        <v>0.1666666667</v>
      </c>
      <c r="AB43" s="17">
        <f t="array" ref="AB43">INDEX(INDIRECT(INDEX($G$4,0) &amp; "!$D$3"),0)</f>
        <v>0.05555555556</v>
      </c>
      <c r="AC43" s="17">
        <f t="array" ref="AC43">INDEX(INDIRECT(INDEX($G$4,0) &amp; "!$D$4"),0)</f>
        <v>0.1111111111</v>
      </c>
      <c r="AD43" s="17">
        <f t="array" ref="AD43">INDEX(INDIRECT(INDEX($G$4,0) &amp; "!$D$5"),0)</f>
        <v>0.3333333333</v>
      </c>
      <c r="AE43" s="17">
        <f t="array" ref="AE43">INDEX(INDIRECT(INDEX($G$4,0) &amp; "!$D$6"),0)</f>
        <v>0.3333333333</v>
      </c>
      <c r="AG43" s="25">
        <f t="array" ref="AG43">INDEX(INDIRECT(INDEX($G$4,0) &amp; "!$C$2"),0)</f>
        <v>3</v>
      </c>
      <c r="AH43" s="25">
        <f t="array" ref="AH43">INDEX(INDIRECT(INDEX($G$4,0) &amp; "!$C$3"),0)</f>
        <v>1</v>
      </c>
      <c r="AI43" s="25">
        <f t="array" ref="AI43">INDEX(INDIRECT(INDEX($G$4,0) &amp; "!$C$4"),0)</f>
        <v>2</v>
      </c>
      <c r="AJ43" s="25">
        <f t="array" ref="AJ43">INDEX(INDIRECT(INDEX($G$4,0) &amp; "!$C$5"),0)</f>
        <v>6</v>
      </c>
      <c r="AK43" s="25">
        <f t="array" ref="AK43">INDEX(INDIRECT(INDEX($G$4,0) &amp; "!$C$6"),0)</f>
        <v>6</v>
      </c>
      <c r="AL43" s="26">
        <f t="shared" ref="AL43:AL49" si="44">SUM(AG43:AK43)</f>
        <v>18</v>
      </c>
    </row>
    <row r="44">
      <c r="A44" s="1" t="s">
        <v>22</v>
      </c>
      <c r="B44" s="5">
        <v>24.0</v>
      </c>
      <c r="C44" s="5">
        <v>21.0</v>
      </c>
      <c r="D44" s="5">
        <v>28.0</v>
      </c>
      <c r="E44" s="5">
        <v>36.0</v>
      </c>
      <c r="G44" s="48">
        <f t="shared" ref="G44:J44" si="41">B44*B5</f>
        <v>16</v>
      </c>
      <c r="H44" s="53">
        <f t="shared" si="41"/>
        <v>14</v>
      </c>
      <c r="I44" s="53">
        <f t="shared" si="41"/>
        <v>15</v>
      </c>
      <c r="J44" s="53">
        <f t="shared" si="41"/>
        <v>24.0012</v>
      </c>
      <c r="K44" s="48"/>
      <c r="L44" s="17">
        <f t="array" ref="L44">INDEX(INDIRECT(INDEX($G$5,0) &amp; "!$D$14"),0)</f>
        <v>1</v>
      </c>
      <c r="M44" s="17">
        <f t="array" ref="M44">INDEX(INDIRECT(INDEX($G$5,0) &amp; "!$D$15"),0)</f>
        <v>0.5</v>
      </c>
      <c r="N44" s="17">
        <f t="array" ref="N44">INDEX(INDIRECT(INDEX($G$5,0) &amp; "!$D$16"),0)</f>
        <v>0.25</v>
      </c>
      <c r="O44" s="17">
        <f t="array" ref="O44">INDEX(INDIRECT(INDEX($G$5,0) &amp; "!$D$17"),0)</f>
        <v>0.4444444444</v>
      </c>
      <c r="P44" s="20">
        <f t="array" ref="P44">SUM(L44:O44*U44:X44)/Y44</f>
        <v>0.5</v>
      </c>
      <c r="Q44" s="21">
        <f t="array" ref="Q44">SUM(L44:N44*U44:W44)/SUM(U44:W44)</f>
        <v>0.5555555556</v>
      </c>
      <c r="R44" s="17">
        <f t="shared" si="42"/>
        <v>0.5714285714</v>
      </c>
      <c r="S44" s="21">
        <f t="array" ref="S44">SUM(L44:M44*U44:V44)/SUM(U44:V44)</f>
        <v>0.8</v>
      </c>
      <c r="U44" s="23">
        <f t="array" ref="U44">INDEX(INDIRECT(INDEX($G$5,0) &amp; "!$C$14"),0)</f>
        <v>3</v>
      </c>
      <c r="V44" s="23">
        <f t="array" ref="V44">INDEX(INDIRECT(INDEX($G$5,0) &amp; "!$C$15"),0)</f>
        <v>2</v>
      </c>
      <c r="W44" s="23">
        <f t="array" ref="W44">INDEX(INDIRECT(INDEX($G$5,0) &amp; "!$C$16"),0)</f>
        <v>4</v>
      </c>
      <c r="X44" s="23">
        <f t="array" ref="X44">INDEX(INDIRECT(INDEX($G$5,0) &amp; "!$C$17"),0)</f>
        <v>9</v>
      </c>
      <c r="Y44" s="24">
        <f t="shared" si="43"/>
        <v>18</v>
      </c>
      <c r="AA44" s="17">
        <f t="array" ref="AA44">INDEX(INDIRECT(INDEX($G$5,0) &amp; "!$D$2"),0)</f>
        <v>0.125</v>
      </c>
      <c r="AB44" s="17">
        <f t="array" ref="AB44">INDEX(INDIRECT(INDEX($G$5,0) &amp; "!$D$3"),0)</f>
        <v>0.04166666667</v>
      </c>
      <c r="AC44" s="17">
        <f t="array" ref="AC44">INDEX(INDIRECT(INDEX($G$5,0) &amp; "!$D$4"),0)</f>
        <v>0.1666666667</v>
      </c>
      <c r="AD44" s="17">
        <f t="array" ref="AD44">INDEX(INDIRECT(INDEX($G$5,0) &amp; "!$D$5"),0)</f>
        <v>0.2916666667</v>
      </c>
      <c r="AE44" s="17">
        <f t="array" ref="AE44">INDEX(INDIRECT(INDEX($G$5,0) &amp; "!$D$6"),0)</f>
        <v>0.375</v>
      </c>
      <c r="AG44" s="25">
        <f t="array" ref="AG44">INDEX(INDIRECT(INDEX($G$5,0) &amp; "!$C$2"),0)</f>
        <v>3</v>
      </c>
      <c r="AH44" s="25">
        <f t="array" ref="AH44">INDEX(INDIRECT(INDEX($G$5,0) &amp; "!$C$3"),0)</f>
        <v>1</v>
      </c>
      <c r="AI44" s="25">
        <f t="array" ref="AI44">INDEX(INDIRECT(INDEX($G$5,0) &amp; "!$C$4"),0)</f>
        <v>4</v>
      </c>
      <c r="AJ44" s="25">
        <f t="array" ref="AJ44">INDEX(INDIRECT(INDEX($G$5,0) &amp; "!$C$5"),0)</f>
        <v>7</v>
      </c>
      <c r="AK44" s="25">
        <f t="array" ref="AK44">INDEX(INDIRECT(INDEX($G$5,0) &amp; "!$C$6"),0)</f>
        <v>9</v>
      </c>
      <c r="AL44" s="26">
        <f t="shared" si="44"/>
        <v>24</v>
      </c>
    </row>
    <row r="45">
      <c r="A45" s="1" t="s">
        <v>27</v>
      </c>
      <c r="B45" s="5">
        <v>25.0</v>
      </c>
      <c r="C45" s="5">
        <v>29.0</v>
      </c>
      <c r="D45" s="5">
        <v>30.0</v>
      </c>
      <c r="E45" s="5">
        <v>32.0</v>
      </c>
      <c r="G45" s="48">
        <f t="shared" ref="G45:J45" si="45">B45*B6</f>
        <v>18</v>
      </c>
      <c r="H45" s="53">
        <f t="shared" si="45"/>
        <v>21</v>
      </c>
      <c r="I45" s="53">
        <f t="shared" si="45"/>
        <v>21</v>
      </c>
      <c r="J45" s="53">
        <f t="shared" si="45"/>
        <v>24</v>
      </c>
      <c r="K45" s="48"/>
      <c r="L45" s="17">
        <f t="array" ref="L45">INDEX(INDIRECT(INDEX($G$6,0) &amp; "!$D$14"),0)</f>
        <v>0.6666666667</v>
      </c>
      <c r="M45" s="17">
        <f t="array" ref="M45">INDEX(INDIRECT(INDEX($G$6,0) &amp; "!$D$15"),0)</f>
        <v>1</v>
      </c>
      <c r="N45" s="17">
        <f t="array" ref="N45">INDEX(INDIRECT(INDEX($G$6,0) &amp; "!$D$16"),0)</f>
        <v>0.5</v>
      </c>
      <c r="O45" s="17">
        <f t="array" ref="O45">INDEX(INDIRECT(INDEX($G$6,0) &amp; "!$D$17"),0)</f>
        <v>0.25</v>
      </c>
      <c r="P45" s="20">
        <f t="array" ref="P45">SUM(L45:O45*U45:X45)/Y45</f>
        <v>0.5</v>
      </c>
      <c r="Q45" s="21">
        <f t="array" ref="Q45">SUM(L45:N45*U45:W45)/SUM(U45:W45)</f>
        <v>0.7</v>
      </c>
      <c r="R45" s="17">
        <f t="shared" si="42"/>
        <v>0.5</v>
      </c>
      <c r="S45" s="21">
        <f t="array" ref="S45">SUM(L45:M45*U45:V45)/SUM(U45:V45)</f>
        <v>0.8333333333</v>
      </c>
      <c r="U45" s="23">
        <f t="array" ref="U45">INDEX(INDIRECT(INDEX($G$6,0) &amp; "!$C$14"),0)</f>
        <v>3</v>
      </c>
      <c r="V45" s="23">
        <f t="array" ref="V45">INDEX(INDIRECT(INDEX($G$6,0) &amp; "!$C$15"),0)</f>
        <v>3</v>
      </c>
      <c r="W45" s="23">
        <f t="array" ref="W45">INDEX(INDIRECT(INDEX($G$6,0) &amp; "!$C$16"),0)</f>
        <v>4</v>
      </c>
      <c r="X45" s="23">
        <f t="array" ref="X45">INDEX(INDIRECT(INDEX($G$6,0) &amp; "!$C$17"),0)</f>
        <v>8</v>
      </c>
      <c r="Y45" s="24">
        <f t="shared" si="43"/>
        <v>18</v>
      </c>
      <c r="AA45" s="17">
        <f t="array" ref="AA45">INDEX(INDIRECT(INDEX($G$6,0) &amp; "!$D$2"),0)</f>
        <v>0.04</v>
      </c>
      <c r="AB45" s="17">
        <f t="array" ref="AB45">INDEX(INDIRECT(INDEX($G$6,0) &amp; "!$D$3"),0)</f>
        <v>0.04</v>
      </c>
      <c r="AC45" s="17">
        <f t="array" ref="AC45">INDEX(INDIRECT(INDEX($G$6,0) &amp; "!$D$4"),0)</f>
        <v>0.2</v>
      </c>
      <c r="AD45" s="17">
        <f t="array" ref="AD45">INDEX(INDIRECT(INDEX($G$6,0) &amp; "!$D$5"),0)</f>
        <v>0.36</v>
      </c>
      <c r="AE45" s="17">
        <f t="array" ref="AE45">INDEX(INDIRECT(INDEX($G$6,0) &amp; "!$D$6"),0)</f>
        <v>0.36</v>
      </c>
      <c r="AG45" s="25">
        <f t="array" ref="AG45">INDEX(INDIRECT(INDEX($G$6,0) &amp; "!$C$2"),0)</f>
        <v>1</v>
      </c>
      <c r="AH45" s="25">
        <f t="array" ref="AH45">INDEX(INDIRECT(INDEX($G$6,0) &amp; "!$C$3"),0)</f>
        <v>1</v>
      </c>
      <c r="AI45" s="25">
        <f t="array" ref="AI45">INDEX(INDIRECT(INDEX($G$6,0) &amp; "!$C$4"),0)</f>
        <v>5</v>
      </c>
      <c r="AJ45" s="25">
        <f t="array" ref="AJ45">INDEX(INDIRECT(INDEX($G$6,0) &amp; "!$C$5"),0)</f>
        <v>9</v>
      </c>
      <c r="AK45" s="25">
        <f t="array" ref="AK45">INDEX(INDIRECT(INDEX($G$6,0) &amp; "!$C$6"),0)</f>
        <v>9</v>
      </c>
      <c r="AL45" s="26">
        <f t="shared" si="44"/>
        <v>25</v>
      </c>
    </row>
    <row r="46">
      <c r="A46" s="1" t="s">
        <v>32</v>
      </c>
      <c r="B46" s="5">
        <v>38.0</v>
      </c>
      <c r="C46" s="5">
        <v>24.0</v>
      </c>
      <c r="D46" s="5">
        <v>30.0</v>
      </c>
      <c r="E46" s="5">
        <v>35.0</v>
      </c>
      <c r="G46" s="48">
        <f t="shared" ref="G46:J46" si="46">B46*B7</f>
        <v>23</v>
      </c>
      <c r="H46" s="53">
        <f t="shared" si="46"/>
        <v>19</v>
      </c>
      <c r="I46" s="53">
        <f t="shared" si="46"/>
        <v>20</v>
      </c>
      <c r="J46" s="53">
        <f t="shared" si="46"/>
        <v>25</v>
      </c>
      <c r="L46" s="17">
        <f t="array" ref="L46">INDEX(INDIRECT(INDEX($G$7,0) &amp; "!$D$14"),0)</f>
        <v>1</v>
      </c>
      <c r="M46" s="17">
        <f t="array" ref="M46">INDEX(INDIRECT(INDEX($G$7,0) &amp; "!$D$15"),0)</f>
        <v>0.4285714286</v>
      </c>
      <c r="N46" s="17">
        <f t="array" ref="N46">INDEX(INDIRECT(INDEX($G$7,0) &amp; "!$D$16"),0)</f>
        <v>0.25</v>
      </c>
      <c r="O46" s="17">
        <f t="array" ref="O46">INDEX(INDIRECT(INDEX($G$7,0) &amp; "!$D$17"),0)</f>
        <v>0.1111111111</v>
      </c>
      <c r="P46" s="20">
        <f t="array" ref="P46">SUM(L46:O46*U46:X46)/Y46</f>
        <v>0.347826087</v>
      </c>
      <c r="Q46" s="21">
        <f t="array" ref="Q46">SUM(L46:N46*U46:W46)/SUM(U46:W46)</f>
        <v>0.5</v>
      </c>
      <c r="R46" s="17">
        <f t="shared" si="42"/>
        <v>0.3684210526</v>
      </c>
      <c r="S46" s="21">
        <f t="array" ref="S46">SUM(L46:M46*U46:V46)/SUM(U46:V46)</f>
        <v>0.6</v>
      </c>
      <c r="U46" s="23">
        <f t="array" ref="U46">INDEX(INDIRECT(INDEX($G$7,0) &amp; "!$C$14"),0)</f>
        <v>3</v>
      </c>
      <c r="V46" s="23">
        <f t="array" ref="V46">INDEX(INDIRECT(INDEX($G$7,0) &amp; "!$C$15"),0)</f>
        <v>7</v>
      </c>
      <c r="W46" s="23">
        <f t="array" ref="W46">INDEX(INDIRECT(INDEX($G$7,0) &amp; "!$C$16"),0)</f>
        <v>4</v>
      </c>
      <c r="X46" s="23">
        <f t="array" ref="X46">INDEX(INDIRECT(INDEX($G$7,0) &amp; "!$C$17"),0)</f>
        <v>9</v>
      </c>
      <c r="Y46" s="24">
        <f t="shared" si="43"/>
        <v>23</v>
      </c>
      <c r="AA46" s="17">
        <f t="array" ref="AA46">INDEX(INDIRECT(INDEX($G$7,0) &amp; "!$D$2"),0)</f>
        <v>0.02631578947</v>
      </c>
      <c r="AB46" s="17">
        <f t="array" ref="AB46">INDEX(INDIRECT(INDEX($G$7,0) &amp; "!$D$3"),0)</f>
        <v>0.1578947368</v>
      </c>
      <c r="AC46" s="17">
        <f t="array" ref="AC46">INDEX(INDIRECT(INDEX($G$7,0) &amp; "!$D$4"),0)</f>
        <v>0.2105263158</v>
      </c>
      <c r="AD46" s="17">
        <f t="array" ref="AD46">INDEX(INDIRECT(INDEX($G$7,0) &amp; "!$D$5"),0)</f>
        <v>0.2105263158</v>
      </c>
      <c r="AE46" s="17">
        <f t="array" ref="AE46">INDEX(INDIRECT(INDEX($G$7,0) &amp; "!$D$6"),0)</f>
        <v>0.3947368421</v>
      </c>
      <c r="AG46" s="25">
        <f t="array" ref="AG46">INDEX(INDIRECT(INDEX($G$7,0) &amp; "!$C$2"),0)</f>
        <v>1</v>
      </c>
      <c r="AH46" s="25">
        <f t="array" ref="AH46">INDEX(INDIRECT(INDEX($G$7,0) &amp; "!$C$3"),0)</f>
        <v>6</v>
      </c>
      <c r="AI46" s="25">
        <f t="array" ref="AI46">INDEX(INDIRECT(INDEX($G$7,0) &amp; "!$C$4"),0)</f>
        <v>8</v>
      </c>
      <c r="AJ46" s="25">
        <f t="array" ref="AJ46">INDEX(INDIRECT(INDEX($G$7,0) &amp; "!$C$5"),0)</f>
        <v>8</v>
      </c>
      <c r="AK46" s="25">
        <f t="array" ref="AK46">INDEX(INDIRECT(INDEX($G$7,0) &amp; "!$C$6"),0)</f>
        <v>15</v>
      </c>
      <c r="AL46" s="26">
        <f t="shared" si="44"/>
        <v>38</v>
      </c>
    </row>
    <row r="47">
      <c r="A47" s="13" t="s">
        <v>37</v>
      </c>
      <c r="B47" s="5">
        <v>20.0</v>
      </c>
      <c r="C47" s="5">
        <v>27.0</v>
      </c>
      <c r="D47" s="5">
        <v>24.0</v>
      </c>
      <c r="E47" s="5">
        <v>24.0</v>
      </c>
      <c r="G47" s="48">
        <f t="shared" ref="G47:J47" si="47">B47*B8</f>
        <v>12</v>
      </c>
      <c r="H47" s="53">
        <f t="shared" si="47"/>
        <v>14</v>
      </c>
      <c r="I47" s="53">
        <f t="shared" si="47"/>
        <v>14</v>
      </c>
      <c r="J47" s="53">
        <f t="shared" si="47"/>
        <v>17</v>
      </c>
      <c r="L47" s="17">
        <f t="array" ref="L47">INDEX(INDIRECT(INDEX($G$8,0) &amp; "!$D$14"),0)</f>
        <v>1</v>
      </c>
      <c r="M47" s="17">
        <f t="array" ref="M47">INDEX(INDIRECT(INDEX($G$8,0) &amp; "!$D$15"),0)</f>
        <v>0</v>
      </c>
      <c r="N47" s="17">
        <f t="array" ref="N47">INDEX(INDIRECT(INDEX($G$8,0) &amp; "!$D$16"),0)</f>
        <v>0.25</v>
      </c>
      <c r="O47" s="17">
        <f t="array" ref="O47">INDEX(INDIRECT(INDEX($G$8,0) &amp; "!$D$17"),0)</f>
        <v>0.3</v>
      </c>
      <c r="P47" s="20">
        <f t="array" ref="P47">SUM(L47:O47*U47:X47)/Y47</f>
        <v>0.375</v>
      </c>
      <c r="Q47" s="21">
        <f t="array" ref="Q47">SUM(L47:N47*U47:W47)/SUM(U47:W47)</f>
        <v>0.5</v>
      </c>
      <c r="R47" s="17">
        <f t="shared" si="42"/>
        <v>0.4166666667</v>
      </c>
      <c r="S47" s="21">
        <f t="array" ref="S47">SUM(L47:M47*U47:V47)/SUM(U47:V47)</f>
        <v>1</v>
      </c>
      <c r="U47" s="23">
        <f t="array" ref="U47">INDEX(INDIRECT(INDEX($G$8,0) &amp; "!$C$14"),0)</f>
        <v>2</v>
      </c>
      <c r="V47" s="23">
        <f t="array" ref="V47">INDEX(INDIRECT(INDEX($G$8,0) &amp; "!$C$15"),0)</f>
        <v>0</v>
      </c>
      <c r="W47" s="23">
        <f t="array" ref="W47">INDEX(INDIRECT(INDEX($G$8,0) &amp; "!$C$16"),0)</f>
        <v>4</v>
      </c>
      <c r="X47" s="23">
        <f t="array" ref="X47">INDEX(INDIRECT(INDEX($G$8,0) &amp; "!$C$17"),0)</f>
        <v>10</v>
      </c>
      <c r="Y47" s="24">
        <f t="shared" si="43"/>
        <v>16</v>
      </c>
      <c r="AA47" s="17">
        <f t="array" ref="AA47">INDEX(INDIRECT(INDEX($G$8,0) &amp; "!$D$2"),0)</f>
        <v>0.15</v>
      </c>
      <c r="AB47" s="17">
        <f t="array" ref="AB47">INDEX(INDIRECT(INDEX($G$8,0) &amp; "!$D$3"),0)</f>
        <v>0.1</v>
      </c>
      <c r="AC47" s="17">
        <f t="array" ref="AC47">INDEX(INDIRECT(INDEX($G$8,0) &amp; "!$D$4"),0)</f>
        <v>0.15</v>
      </c>
      <c r="AD47" s="17">
        <f t="array" ref="AD47">INDEX(INDIRECT(INDEX($G$8,0) &amp; "!$D$5"),0)</f>
        <v>0.3</v>
      </c>
      <c r="AE47" s="17">
        <f t="array" ref="AE47">INDEX(INDIRECT(INDEX($G$8,0) &amp; "!$D$6"),0)</f>
        <v>0.3</v>
      </c>
      <c r="AG47" s="25">
        <f t="array" ref="AG47">INDEX(INDIRECT(INDEX($G$8,0) &amp; "!$C$2"),0)</f>
        <v>3</v>
      </c>
      <c r="AH47" s="25">
        <f t="array" ref="AH47">INDEX(INDIRECT(INDEX($G$8,0) &amp; "!$C$3"),0)</f>
        <v>2</v>
      </c>
      <c r="AI47" s="25">
        <f t="array" ref="AI47">INDEX(INDIRECT(INDEX($G$8,0) &amp; "!$C$4"),0)</f>
        <v>3</v>
      </c>
      <c r="AJ47" s="25">
        <f t="array" ref="AJ47">INDEX(INDIRECT(INDEX($G$8,0) &amp; "!$C$5"),0)</f>
        <v>6</v>
      </c>
      <c r="AK47" s="25">
        <f t="array" ref="AK47">INDEX(INDIRECT(INDEX($G$8,0) &amp; "!$C$6"),0)</f>
        <v>6</v>
      </c>
      <c r="AL47" s="26">
        <f t="shared" si="44"/>
        <v>20</v>
      </c>
    </row>
    <row r="48">
      <c r="A48" s="13" t="s">
        <v>42</v>
      </c>
      <c r="B48" s="5">
        <v>38.0</v>
      </c>
      <c r="C48" s="5">
        <v>25.0</v>
      </c>
      <c r="D48" s="5">
        <v>26.0</v>
      </c>
      <c r="E48" s="5">
        <v>37.0</v>
      </c>
      <c r="G48" s="48">
        <f t="shared" ref="G48:J48" si="48">B48*B9</f>
        <v>18</v>
      </c>
      <c r="H48" s="53">
        <f t="shared" si="48"/>
        <v>15</v>
      </c>
      <c r="I48" s="53">
        <f t="shared" si="48"/>
        <v>17</v>
      </c>
      <c r="J48" s="53">
        <f t="shared" si="48"/>
        <v>25</v>
      </c>
      <c r="L48" s="17">
        <f t="array" ref="L48">INDEX(INDIRECT(INDEX($G$9,0) &amp; "!$D$14"),0)</f>
        <v>1</v>
      </c>
      <c r="M48" s="17">
        <f t="array" ref="M48">INDEX(INDIRECT(INDEX($G$9,0) &amp; "!$D$15"),0)</f>
        <v>0</v>
      </c>
      <c r="N48" s="17">
        <f t="array" ref="N48">INDEX(INDIRECT(INDEX($G$9,0) &amp; "!$D$16"),0)</f>
        <v>0.5</v>
      </c>
      <c r="O48" s="17">
        <f t="array" ref="O48">INDEX(INDIRECT(INDEX($G$9,0) &amp; "!$D$17"),0)</f>
        <v>0.2857142857</v>
      </c>
      <c r="P48" s="20">
        <f t="array" ref="P48">SUM(L48:O48*U48:X48)/Y48</f>
        <v>0.4</v>
      </c>
      <c r="Q48" s="21">
        <f t="array" ref="Q48">SUM(L48:N48*U48:W48)/SUM(U48:W48)</f>
        <v>0.5</v>
      </c>
      <c r="R48" s="17">
        <f t="shared" si="42"/>
        <v>0.3636363636</v>
      </c>
      <c r="S48" s="21">
        <f t="array" ref="S48">SUM(L48:M48*U48:V48)/SUM(U48:V48)</f>
        <v>0.5</v>
      </c>
      <c r="U48" s="23">
        <f t="array" ref="U48">INDEX(INDIRECT(INDEX($G$9,0) &amp; "!$C$14"),0)</f>
        <v>2</v>
      </c>
      <c r="V48" s="23">
        <f t="array" ref="V48">INDEX(INDIRECT(INDEX($G$9,0) &amp; "!$C$15"),0)</f>
        <v>2</v>
      </c>
      <c r="W48" s="23">
        <f t="array" ref="W48">INDEX(INDIRECT(INDEX($G$9,0) &amp; "!$C$16"),0)</f>
        <v>4</v>
      </c>
      <c r="X48" s="23">
        <f t="array" ref="X48">INDEX(INDIRECT(INDEX($G$9,0) &amp; "!$C$17"),0)</f>
        <v>7</v>
      </c>
      <c r="Y48" s="24">
        <f t="shared" si="43"/>
        <v>15</v>
      </c>
      <c r="AA48" s="17">
        <f t="array" ref="AA48">INDEX(INDIRECT(INDEX($G$9,0) &amp; "!$D$2"),0)</f>
        <v>0.05263157895</v>
      </c>
      <c r="AB48" s="17">
        <f t="array" ref="AB48">INDEX(INDIRECT(INDEX($G$9,0) &amp; "!$D$3"),0)</f>
        <v>0.2368421053</v>
      </c>
      <c r="AC48" s="17">
        <f t="array" ref="AC48">INDEX(INDIRECT(INDEX($G$9,0) &amp; "!$D$4"),0)</f>
        <v>0.2368421053</v>
      </c>
      <c r="AD48" s="17">
        <f t="array" ref="AD48">INDEX(INDIRECT(INDEX($G$9,0) &amp; "!$D$5"),0)</f>
        <v>0.1578947368</v>
      </c>
      <c r="AE48" s="17">
        <f t="array" ref="AE48">INDEX(INDIRECT(INDEX($G$9,0) &amp; "!$D$6"),0)</f>
        <v>0.3157894737</v>
      </c>
      <c r="AG48" s="25">
        <f t="array" ref="AG48">INDEX(INDIRECT(INDEX($G$9,0) &amp; "!$C$2"),0)</f>
        <v>2</v>
      </c>
      <c r="AH48" s="25">
        <f t="array" ref="AH48">INDEX(INDIRECT(INDEX($G$9,0) &amp; "!$C$3"),0)</f>
        <v>9</v>
      </c>
      <c r="AI48" s="25">
        <f t="array" ref="AI48">INDEX(INDIRECT(INDEX($G$9,0) &amp; "!$C$4"),0)</f>
        <v>9</v>
      </c>
      <c r="AJ48" s="25">
        <f t="array" ref="AJ48">INDEX(INDIRECT(INDEX($G$9,0) &amp; "!$C$5"),0)</f>
        <v>6</v>
      </c>
      <c r="AK48" s="25">
        <f t="array" ref="AK48">INDEX(INDIRECT(INDEX($G$9,0) &amp; "!$C$6"),0)</f>
        <v>12</v>
      </c>
      <c r="AL48" s="26">
        <f t="shared" si="44"/>
        <v>38</v>
      </c>
    </row>
    <row r="49">
      <c r="A49" s="28" t="s">
        <v>47</v>
      </c>
      <c r="B49" s="54">
        <f t="shared" ref="B49:E49" si="49">AVERAGE(B$43:B48)</f>
        <v>27.16666667</v>
      </c>
      <c r="C49" s="54">
        <f t="shared" si="49"/>
        <v>23.5</v>
      </c>
      <c r="D49" s="54">
        <f t="shared" si="49"/>
        <v>27</v>
      </c>
      <c r="E49" s="54">
        <f t="shared" si="49"/>
        <v>33.83333333</v>
      </c>
      <c r="G49" s="55">
        <f t="shared" ref="G49:J49" si="50">AVERAGE(G$43:G48)</f>
        <v>16.5</v>
      </c>
      <c r="H49" s="54">
        <f t="shared" si="50"/>
        <v>16</v>
      </c>
      <c r="I49" s="54">
        <f t="shared" si="50"/>
        <v>17.66666667</v>
      </c>
      <c r="J49" s="54">
        <f t="shared" si="50"/>
        <v>24.16686667</v>
      </c>
      <c r="L49" s="29">
        <f t="shared" ref="L49:S49" si="51">AVERAGE(L43:L48)</f>
        <v>0.8888888889</v>
      </c>
      <c r="M49" s="31">
        <f t="shared" si="51"/>
        <v>0.376984127</v>
      </c>
      <c r="N49" s="29">
        <f t="shared" si="51"/>
        <v>0.375</v>
      </c>
      <c r="O49" s="31">
        <f t="shared" si="51"/>
        <v>0.2735449735</v>
      </c>
      <c r="P49" s="32">
        <f t="shared" si="51"/>
        <v>0.4252329193</v>
      </c>
      <c r="Q49" s="29">
        <f t="shared" si="51"/>
        <v>0.5425925926</v>
      </c>
      <c r="R49" s="31">
        <f t="shared" si="51"/>
        <v>0.4366921091</v>
      </c>
      <c r="S49" s="29">
        <f t="shared" si="51"/>
        <v>0.7055555556</v>
      </c>
      <c r="U49" s="34">
        <f t="shared" ref="U49:X49" si="52">SUM(U43:U48)</f>
        <v>16</v>
      </c>
      <c r="V49" s="34">
        <f t="shared" si="52"/>
        <v>17</v>
      </c>
      <c r="W49" s="34">
        <f t="shared" si="52"/>
        <v>24</v>
      </c>
      <c r="X49" s="34">
        <f t="shared" si="52"/>
        <v>47</v>
      </c>
      <c r="Y49" s="35">
        <f t="shared" si="43"/>
        <v>104</v>
      </c>
      <c r="AA49" s="29">
        <f t="shared" ref="AA49:AE49" si="53">AVERAGE(AA43:AA48)</f>
        <v>0.09343567251</v>
      </c>
      <c r="AB49" s="31">
        <f t="shared" si="53"/>
        <v>0.1053265107</v>
      </c>
      <c r="AC49" s="31">
        <f t="shared" si="53"/>
        <v>0.1791910331</v>
      </c>
      <c r="AD49" s="29">
        <f t="shared" si="53"/>
        <v>0.2755701754</v>
      </c>
      <c r="AE49" s="29">
        <f t="shared" si="53"/>
        <v>0.3464766082</v>
      </c>
      <c r="AG49" s="37">
        <f t="shared" ref="AG49:AK49" si="54">SUM(AG43:AG48)</f>
        <v>13</v>
      </c>
      <c r="AH49" s="37">
        <f t="shared" si="54"/>
        <v>20</v>
      </c>
      <c r="AI49" s="37">
        <f t="shared" si="54"/>
        <v>31</v>
      </c>
      <c r="AJ49" s="37">
        <f t="shared" si="54"/>
        <v>42</v>
      </c>
      <c r="AK49" s="37">
        <f t="shared" si="54"/>
        <v>57</v>
      </c>
      <c r="AL49" s="38">
        <f t="shared" si="44"/>
        <v>163</v>
      </c>
    </row>
    <row r="50">
      <c r="A50" s="56" t="s">
        <v>49</v>
      </c>
      <c r="B50" s="5"/>
      <c r="C50" s="5"/>
      <c r="D50" s="5"/>
      <c r="E50" s="5"/>
      <c r="G50" s="4"/>
      <c r="H50" s="5"/>
      <c r="I50" s="5"/>
      <c r="J50" s="5"/>
      <c r="L50" s="21">
        <f t="array" ref="L50">SUM(L43:L48*U43:U48)/U49</f>
        <v>0.875</v>
      </c>
      <c r="M50" s="21">
        <f t="array" ref="M50">SUM(M43:M48*V43:V48)/V49</f>
        <v>0.4705882353</v>
      </c>
      <c r="N50" s="21">
        <f t="array" ref="N50">SUM(N43:N48*W43:W48)/W49</f>
        <v>0.375</v>
      </c>
      <c r="O50" s="21">
        <f t="array" ref="O50">SUM(O43:O48*X43:X48)/X49</f>
        <v>0.2765957447</v>
      </c>
      <c r="P50" s="40">
        <f t="array" ref="P50">SUM(P43:P48*Y43:Y48)/Y49</f>
        <v>0.4230769231</v>
      </c>
      <c r="Q50" s="17">
        <f t="array" ref="Q50">SUM(Q43:Q48*Y43:Y48-X43:X48)/SUM(U49:W49)</f>
        <v>0.5438596491</v>
      </c>
      <c r="R50" s="41">
        <f t="array" ref="R50">SUM(R43:R48*Y43:Y48-W43:W48)/(SUM(U49:X49)-W49)</f>
        <v>0.4375</v>
      </c>
      <c r="S50" s="17">
        <f t="array" ref="S50">SUM(S43:S48*U43:U48+V43:V48)/SUM(U49:V49)</f>
        <v>0.6666666667</v>
      </c>
      <c r="AA50" s="21">
        <f t="shared" ref="AA50:AE50" si="55">AG49/$AL49</f>
        <v>0.07975460123</v>
      </c>
      <c r="AB50" s="21">
        <f t="shared" si="55"/>
        <v>0.1226993865</v>
      </c>
      <c r="AC50" s="21">
        <f t="shared" si="55"/>
        <v>0.1901840491</v>
      </c>
      <c r="AD50" s="21">
        <f t="shared" si="55"/>
        <v>0.2576687117</v>
      </c>
      <c r="AE50" s="21">
        <f t="shared" si="55"/>
        <v>0.3496932515</v>
      </c>
      <c r="AF50" s="36">
        <f>SUM(AA50:AE50)</f>
        <v>1</v>
      </c>
    </row>
    <row r="51">
      <c r="A51" s="11" t="s">
        <v>51</v>
      </c>
      <c r="B51" s="45">
        <f>TTEST(B43:B48, 'Summary (ELD)'!B43:B48, 1, 1)</f>
        <v>0.000548767969</v>
      </c>
      <c r="C51" s="45">
        <f>TTEST(C43:C48, 'Summary (ELD)'!C43:C48, 1, 1)</f>
        <v>0.00427592212</v>
      </c>
      <c r="D51" s="45">
        <f>TTEST(D43:D48, 'Summary (ELD)'!D43:D48, 1, 1)</f>
        <v>0.01588522874</v>
      </c>
      <c r="E51" s="45">
        <f>TTEST(E43:E48, 'Summary (ELD)'!E43:E48, 1, 1)</f>
        <v>0.1369468914</v>
      </c>
      <c r="G51" s="57">
        <f>TTEST(G43:G48, 'Summary (ELD)'!G43:G48, 1, 1)</f>
        <v>0.0003146448802</v>
      </c>
      <c r="H51" s="45">
        <f>TTEST(H43:H48, 'Summary (ELD)'!H43:H48, 1, 1)</f>
        <v>0.0007576621668</v>
      </c>
      <c r="I51" s="45">
        <f>TTEST(I43:I48, 'Summary (ELD)'!I43:I48, 1, 1)</f>
        <v>0.0001260331294</v>
      </c>
      <c r="J51" s="45">
        <f>TTEST(J43:J48, 'Summary (ELD)'!J43:J48, 1, 1)</f>
        <v>0.06064039409</v>
      </c>
      <c r="K51" s="43" t="s">
        <v>51</v>
      </c>
      <c r="L51" s="45">
        <f>TTEST(L41:L46, 'Summary (ELD)'!L41:L46, 1, 1)</f>
        <v>0.03524199846</v>
      </c>
      <c r="M51" s="45">
        <f>TTEST(M41:M46, 'Summary (ELD)'!M41:M46, 1, 1)</f>
        <v>0.01600229453</v>
      </c>
      <c r="N51" s="45">
        <f>TTEST(N41:N46, 'Summary (ELD)'!N41:N46, 1, 1)</f>
        <v>0.03980249041</v>
      </c>
      <c r="O51" s="45">
        <f>TTEST(O41:O46, 'Summary (ELD)'!O41:O46, 1, 1)</f>
        <v>0.007188841462</v>
      </c>
      <c r="Z51" s="43" t="s">
        <v>51</v>
      </c>
      <c r="AA51" s="45">
        <f>TTEST(AA43:AA48, 'Summary (ELD)'!AA43:AA48, 1, 1)</f>
        <v>0.006618989137</v>
      </c>
      <c r="AB51" s="45">
        <f>TTEST(AB43:AB48, 'Summary (ELD)'!AB43:AB48, 1, 1)</f>
        <v>0.2006747765</v>
      </c>
      <c r="AC51" s="45">
        <f>TTEST(AC43:AC48, 'Summary (ELD)'!AC43:AC48, 1, 1)</f>
        <v>0.0001022695538</v>
      </c>
      <c r="AD51" s="45">
        <f>TTEST(AD43:AD48, 'Summary (ELD)'!AD43:AD48, 1, 1)</f>
        <v>0.01769320749</v>
      </c>
      <c r="AE51" s="45">
        <f>TTEST(AE43:AE48, 'Summary (ELD)'!AE43:AE48, 1, 1)</f>
        <v>0.3149885436</v>
      </c>
    </row>
    <row r="52">
      <c r="A52" s="43" t="s">
        <v>53</v>
      </c>
      <c r="B52" s="46" t="b">
        <v>1</v>
      </c>
      <c r="C52" s="46" t="b">
        <v>1</v>
      </c>
      <c r="D52" s="46" t="b">
        <v>1</v>
      </c>
      <c r="E52" s="46" t="b">
        <v>1</v>
      </c>
      <c r="G52" s="46" t="b">
        <v>1</v>
      </c>
      <c r="H52" s="46" t="b">
        <v>1</v>
      </c>
      <c r="I52" s="46" t="b">
        <v>1</v>
      </c>
      <c r="J52" s="46" t="b">
        <v>1</v>
      </c>
      <c r="K52" s="43" t="s">
        <v>53</v>
      </c>
      <c r="L52" s="46" t="b">
        <v>1</v>
      </c>
      <c r="M52" s="46" t="b">
        <v>1</v>
      </c>
      <c r="N52" s="46" t="b">
        <v>1</v>
      </c>
      <c r="O52" s="46" t="b">
        <v>1</v>
      </c>
      <c r="Z52" s="15" t="s">
        <v>54</v>
      </c>
      <c r="AA52" s="8" t="b">
        <v>1</v>
      </c>
      <c r="AB52" s="8" t="b">
        <v>1</v>
      </c>
      <c r="AC52" s="8" t="b">
        <v>1</v>
      </c>
      <c r="AD52" s="8" t="b">
        <v>1</v>
      </c>
      <c r="AE52" s="8" t="b">
        <v>1</v>
      </c>
    </row>
    <row r="53">
      <c r="A53" s="13"/>
      <c r="B53" s="5"/>
      <c r="C53" s="5"/>
      <c r="D53" s="5"/>
      <c r="E53" s="5"/>
      <c r="F53" s="5"/>
      <c r="G53" s="5"/>
      <c r="H53" s="5"/>
      <c r="I53" s="5"/>
      <c r="J53" s="5"/>
      <c r="K53" s="48"/>
    </row>
    <row r="54">
      <c r="A54" s="13"/>
      <c r="B54" s="5"/>
      <c r="C54" s="5"/>
      <c r="D54" s="5"/>
      <c r="E54" s="5"/>
      <c r="F54" s="4"/>
      <c r="G54" s="5"/>
      <c r="H54" s="5"/>
      <c r="I54" s="5"/>
      <c r="J54" s="5"/>
      <c r="K54" s="48"/>
    </row>
    <row r="55">
      <c r="A55" s="13"/>
      <c r="B55" s="5"/>
      <c r="C55" s="5"/>
      <c r="D55" s="5"/>
      <c r="E55" s="5"/>
      <c r="F55" s="4"/>
      <c r="G55" s="5"/>
      <c r="H55" s="5"/>
      <c r="I55" s="5"/>
      <c r="J55" s="5"/>
      <c r="K55" s="48"/>
    </row>
    <row r="56">
      <c r="A56" s="13"/>
      <c r="B56" s="5"/>
      <c r="C56" s="5"/>
      <c r="D56" s="5"/>
      <c r="E56" s="5"/>
      <c r="F56" s="4"/>
      <c r="G56" s="5"/>
      <c r="H56" s="5"/>
      <c r="I56" s="5"/>
      <c r="J56" s="5"/>
      <c r="K56" s="48"/>
    </row>
    <row r="57">
      <c r="A57" s="13"/>
      <c r="B57" s="5"/>
      <c r="C57" s="5"/>
      <c r="D57" s="5"/>
      <c r="E57" s="5"/>
      <c r="F57" s="4"/>
      <c r="G57" s="5"/>
      <c r="H57" s="5"/>
      <c r="I57" s="5"/>
      <c r="J57" s="5"/>
      <c r="K57" s="48"/>
    </row>
    <row r="58">
      <c r="A58" s="13"/>
      <c r="B58" s="5"/>
      <c r="C58" s="5"/>
      <c r="D58" s="5"/>
      <c r="E58" s="5"/>
      <c r="F58" s="4"/>
      <c r="G58" s="5"/>
      <c r="H58" s="5"/>
      <c r="I58" s="5"/>
      <c r="J58" s="5"/>
      <c r="K58" s="48"/>
    </row>
    <row r="59">
      <c r="A59" s="13"/>
      <c r="B59" s="5"/>
      <c r="C59" s="5"/>
      <c r="D59" s="5"/>
      <c r="E59" s="5"/>
      <c r="F59" s="4"/>
      <c r="G59" s="5"/>
      <c r="H59" s="5"/>
      <c r="I59" s="5"/>
      <c r="J59" s="5"/>
    </row>
    <row r="60">
      <c r="A60" s="13"/>
      <c r="B60" s="5"/>
      <c r="C60" s="5"/>
      <c r="D60" s="5"/>
      <c r="E60" s="5"/>
      <c r="F60" s="4"/>
      <c r="G60" s="5"/>
      <c r="H60" s="5"/>
      <c r="I60" s="5"/>
      <c r="J60" s="5"/>
    </row>
    <row r="61">
      <c r="A61" s="13"/>
      <c r="B61" s="5"/>
      <c r="C61" s="5"/>
      <c r="D61" s="5"/>
      <c r="E61" s="5"/>
      <c r="F61" s="4"/>
      <c r="G61" s="5"/>
      <c r="H61" s="5"/>
      <c r="I61" s="5"/>
      <c r="J61" s="5"/>
    </row>
    <row r="62">
      <c r="A62" s="13"/>
      <c r="B62" s="5"/>
      <c r="C62" s="5"/>
      <c r="D62" s="5"/>
      <c r="E62" s="5"/>
      <c r="F62" s="4"/>
      <c r="G62" s="5"/>
      <c r="H62" s="5"/>
      <c r="I62" s="5"/>
      <c r="J62" s="5"/>
    </row>
    <row r="63">
      <c r="A63" s="13"/>
      <c r="B63" s="5"/>
      <c r="C63" s="5"/>
      <c r="D63" s="5"/>
      <c r="E63" s="5"/>
      <c r="F63" s="4"/>
      <c r="G63" s="5"/>
      <c r="H63" s="5"/>
      <c r="I63" s="5"/>
      <c r="J63" s="5"/>
    </row>
    <row r="64">
      <c r="A64" s="13"/>
      <c r="B64" s="5"/>
      <c r="C64" s="5"/>
      <c r="D64" s="5"/>
      <c r="E64" s="5"/>
      <c r="F64" s="4"/>
      <c r="G64" s="5"/>
      <c r="H64" s="5"/>
      <c r="I64" s="5"/>
      <c r="J64" s="5"/>
    </row>
    <row r="65">
      <c r="A65" s="13"/>
      <c r="B65" s="5"/>
      <c r="C65" s="5"/>
      <c r="D65" s="5"/>
      <c r="E65" s="5"/>
      <c r="F65" s="4"/>
      <c r="G65" s="5"/>
      <c r="H65" s="5"/>
      <c r="I65" s="5"/>
      <c r="J65" s="5"/>
    </row>
    <row r="66">
      <c r="A66" s="13"/>
      <c r="B66" s="5"/>
      <c r="C66" s="5"/>
      <c r="D66" s="5"/>
      <c r="E66" s="5"/>
      <c r="F66" s="4"/>
      <c r="G66" s="5"/>
      <c r="H66" s="5"/>
      <c r="I66" s="5"/>
      <c r="J66" s="5"/>
    </row>
    <row r="67">
      <c r="A67" s="13"/>
      <c r="B67" s="5"/>
      <c r="C67" s="5"/>
      <c r="D67" s="5"/>
      <c r="E67" s="5"/>
      <c r="F67" s="4"/>
      <c r="G67" s="5"/>
      <c r="H67" s="5"/>
      <c r="I67" s="5"/>
      <c r="J67" s="5"/>
    </row>
    <row r="68">
      <c r="A68" s="13"/>
      <c r="B68" s="5"/>
      <c r="C68" s="5"/>
      <c r="D68" s="5"/>
      <c r="E68" s="5"/>
      <c r="F68" s="4"/>
      <c r="G68" s="5"/>
      <c r="H68" s="5"/>
      <c r="I68" s="5"/>
      <c r="J68" s="5"/>
    </row>
    <row r="69">
      <c r="A69" s="13"/>
      <c r="B69" s="5"/>
      <c r="C69" s="5"/>
      <c r="D69" s="5"/>
      <c r="E69" s="5"/>
      <c r="F69" s="4"/>
      <c r="G69" s="5"/>
      <c r="H69" s="5"/>
      <c r="I69" s="5"/>
      <c r="J69" s="5"/>
    </row>
    <row r="70">
      <c r="A70" s="13"/>
      <c r="B70" s="5"/>
      <c r="C70" s="5"/>
      <c r="D70" s="5"/>
      <c r="E70" s="5"/>
      <c r="F70" s="4"/>
      <c r="G70" s="5"/>
      <c r="H70" s="5"/>
      <c r="I70" s="5"/>
      <c r="J70" s="5"/>
    </row>
    <row r="71">
      <c r="A71" s="13"/>
      <c r="B71" s="5"/>
      <c r="C71" s="5"/>
      <c r="D71" s="5"/>
      <c r="E71" s="5"/>
      <c r="F71" s="4"/>
      <c r="G71" s="5"/>
      <c r="H71" s="5"/>
      <c r="I71" s="5"/>
      <c r="J71" s="5"/>
    </row>
    <row r="72">
      <c r="A72" s="13"/>
      <c r="B72" s="5"/>
      <c r="C72" s="5"/>
      <c r="D72" s="5"/>
      <c r="E72" s="5"/>
      <c r="F72" s="4"/>
      <c r="G72" s="5"/>
      <c r="H72" s="5"/>
      <c r="I72" s="5"/>
      <c r="J72" s="5"/>
    </row>
    <row r="73">
      <c r="A73" s="13"/>
      <c r="B73" s="5"/>
      <c r="C73" s="5"/>
      <c r="D73" s="5"/>
      <c r="E73" s="5"/>
      <c r="F73" s="4"/>
      <c r="G73" s="5"/>
      <c r="H73" s="5"/>
      <c r="I73" s="5"/>
      <c r="J73" s="5"/>
    </row>
    <row r="74">
      <c r="A74" s="13"/>
      <c r="B74" s="5"/>
      <c r="C74" s="5"/>
      <c r="D74" s="5"/>
      <c r="E74" s="5"/>
      <c r="F74" s="4"/>
      <c r="G74" s="5"/>
      <c r="H74" s="5"/>
      <c r="I74" s="5"/>
      <c r="J74" s="5"/>
    </row>
    <row r="75">
      <c r="A75" s="13"/>
      <c r="B75" s="5"/>
      <c r="C75" s="5"/>
      <c r="D75" s="5"/>
      <c r="E75" s="5"/>
      <c r="F75" s="4"/>
      <c r="G75" s="5"/>
      <c r="H75" s="5"/>
      <c r="I75" s="5"/>
      <c r="J75" s="5"/>
    </row>
    <row r="76">
      <c r="A76" s="13"/>
      <c r="B76" s="5"/>
      <c r="C76" s="5"/>
      <c r="D76" s="5"/>
      <c r="E76" s="5"/>
      <c r="F76" s="4"/>
      <c r="G76" s="5"/>
      <c r="H76" s="5"/>
      <c r="I76" s="5"/>
      <c r="J76" s="5"/>
    </row>
    <row r="77">
      <c r="A77" s="13"/>
      <c r="B77" s="5"/>
      <c r="C77" s="5"/>
      <c r="D77" s="5"/>
      <c r="E77" s="5"/>
      <c r="F77" s="4"/>
      <c r="G77" s="5"/>
      <c r="H77" s="5"/>
      <c r="I77" s="5"/>
      <c r="J77" s="5"/>
    </row>
    <row r="78">
      <c r="A78" s="13"/>
      <c r="B78" s="5"/>
      <c r="C78" s="5"/>
      <c r="D78" s="5"/>
      <c r="E78" s="5"/>
      <c r="F78" s="4"/>
      <c r="G78" s="5"/>
      <c r="H78" s="5"/>
      <c r="I78" s="5"/>
      <c r="J78" s="5"/>
    </row>
    <row r="79">
      <c r="A79" s="13"/>
      <c r="B79" s="5"/>
      <c r="C79" s="5"/>
      <c r="D79" s="5"/>
      <c r="E79" s="5"/>
      <c r="F79" s="4"/>
      <c r="G79" s="5"/>
      <c r="H79" s="5"/>
      <c r="I79" s="5"/>
      <c r="J79" s="5"/>
    </row>
    <row r="80">
      <c r="A80" s="13"/>
      <c r="B80" s="5"/>
      <c r="C80" s="5"/>
      <c r="D80" s="5"/>
      <c r="E80" s="5"/>
      <c r="F80" s="4"/>
      <c r="G80" s="5"/>
      <c r="H80" s="5"/>
      <c r="I80" s="5"/>
      <c r="J80" s="5"/>
    </row>
    <row r="81">
      <c r="A81" s="13"/>
      <c r="B81" s="5"/>
      <c r="C81" s="5"/>
      <c r="D81" s="5"/>
      <c r="E81" s="5"/>
      <c r="F81" s="4"/>
      <c r="G81" s="5"/>
      <c r="H81" s="5"/>
      <c r="I81" s="5"/>
      <c r="J81" s="5"/>
    </row>
    <row r="82">
      <c r="A82" s="13"/>
      <c r="B82" s="5"/>
      <c r="C82" s="5"/>
      <c r="D82" s="5"/>
      <c r="E82" s="5"/>
      <c r="F82" s="4"/>
      <c r="G82" s="5"/>
      <c r="H82" s="5"/>
      <c r="I82" s="5"/>
      <c r="J82" s="5"/>
    </row>
    <row r="83">
      <c r="A83" s="13"/>
      <c r="B83" s="5"/>
      <c r="C83" s="5"/>
      <c r="D83" s="5"/>
      <c r="E83" s="5"/>
      <c r="F83" s="4"/>
      <c r="G83" s="5"/>
      <c r="H83" s="5"/>
      <c r="I83" s="5"/>
      <c r="J83" s="5"/>
    </row>
    <row r="84">
      <c r="A84" s="13"/>
      <c r="B84" s="5"/>
      <c r="C84" s="5"/>
      <c r="D84" s="5"/>
      <c r="E84" s="5"/>
      <c r="F84" s="4"/>
      <c r="G84" s="5"/>
      <c r="H84" s="5"/>
      <c r="I84" s="5"/>
      <c r="J84" s="5"/>
    </row>
    <row r="85">
      <c r="A85" s="13"/>
      <c r="B85" s="5"/>
      <c r="C85" s="5"/>
      <c r="D85" s="5"/>
      <c r="E85" s="5"/>
      <c r="F85" s="4"/>
      <c r="G85" s="5"/>
      <c r="H85" s="5"/>
      <c r="I85" s="5"/>
      <c r="J85" s="5"/>
    </row>
    <row r="86">
      <c r="A86" s="13"/>
      <c r="B86" s="5"/>
      <c r="C86" s="5"/>
      <c r="D86" s="5"/>
      <c r="E86" s="5"/>
      <c r="F86" s="4"/>
      <c r="G86" s="5"/>
      <c r="H86" s="5"/>
      <c r="I86" s="5"/>
      <c r="J86" s="5"/>
    </row>
    <row r="87">
      <c r="A87" s="13"/>
      <c r="B87" s="5"/>
      <c r="C87" s="5"/>
      <c r="D87" s="5"/>
      <c r="E87" s="5"/>
      <c r="F87" s="4"/>
      <c r="G87" s="5"/>
      <c r="H87" s="5"/>
      <c r="I87" s="5"/>
      <c r="J87" s="5"/>
    </row>
    <row r="88">
      <c r="A88" s="13"/>
      <c r="B88" s="5"/>
      <c r="C88" s="5"/>
      <c r="D88" s="5"/>
      <c r="E88" s="5"/>
      <c r="F88" s="4"/>
      <c r="G88" s="5"/>
      <c r="H88" s="5"/>
      <c r="I88" s="5"/>
      <c r="J88" s="5"/>
    </row>
    <row r="89">
      <c r="A89" s="13"/>
      <c r="B89" s="5"/>
      <c r="C89" s="5"/>
      <c r="D89" s="5"/>
      <c r="E89" s="5"/>
      <c r="F89" s="4"/>
      <c r="G89" s="5"/>
      <c r="H89" s="5"/>
      <c r="I89" s="5"/>
      <c r="J89" s="5"/>
    </row>
    <row r="90">
      <c r="A90" s="13"/>
      <c r="B90" s="5"/>
      <c r="C90" s="5"/>
      <c r="D90" s="5"/>
      <c r="E90" s="5"/>
      <c r="F90" s="4"/>
      <c r="G90" s="5"/>
      <c r="H90" s="5"/>
      <c r="I90" s="5"/>
      <c r="J90" s="5"/>
    </row>
    <row r="91">
      <c r="A91" s="13"/>
      <c r="B91" s="5"/>
      <c r="C91" s="5"/>
      <c r="D91" s="5"/>
      <c r="E91" s="5"/>
      <c r="F91" s="4"/>
      <c r="G91" s="5"/>
      <c r="H91" s="5"/>
      <c r="I91" s="5"/>
      <c r="J91" s="5"/>
    </row>
    <row r="92">
      <c r="A92" s="13"/>
      <c r="B92" s="5"/>
      <c r="C92" s="5"/>
      <c r="D92" s="5"/>
      <c r="E92" s="5"/>
      <c r="F92" s="4"/>
      <c r="G92" s="5"/>
      <c r="H92" s="5"/>
      <c r="I92" s="5"/>
      <c r="J92" s="5"/>
    </row>
    <row r="93">
      <c r="A93" s="13"/>
      <c r="B93" s="5"/>
      <c r="C93" s="5"/>
      <c r="D93" s="5"/>
      <c r="E93" s="5"/>
      <c r="F93" s="4"/>
      <c r="G93" s="5"/>
      <c r="H93" s="5"/>
      <c r="I93" s="5"/>
      <c r="J93" s="5"/>
    </row>
    <row r="94">
      <c r="A94" s="13"/>
      <c r="B94" s="5"/>
      <c r="C94" s="5"/>
      <c r="D94" s="5"/>
      <c r="E94" s="5"/>
      <c r="F94" s="4"/>
      <c r="G94" s="5"/>
      <c r="H94" s="5"/>
      <c r="I94" s="5"/>
      <c r="J94" s="5"/>
    </row>
    <row r="95">
      <c r="A95" s="13"/>
      <c r="B95" s="5"/>
      <c r="C95" s="5"/>
      <c r="D95" s="5"/>
      <c r="E95" s="5"/>
      <c r="F95" s="4"/>
      <c r="G95" s="5"/>
      <c r="H95" s="5"/>
      <c r="I95" s="5"/>
      <c r="J95" s="5"/>
    </row>
    <row r="96">
      <c r="A96" s="13"/>
      <c r="B96" s="5"/>
      <c r="C96" s="5"/>
      <c r="D96" s="5"/>
      <c r="E96" s="5"/>
      <c r="F96" s="4"/>
      <c r="G96" s="5"/>
      <c r="H96" s="5"/>
      <c r="I96" s="5"/>
      <c r="J96" s="5"/>
    </row>
    <row r="97">
      <c r="A97" s="13"/>
      <c r="B97" s="5"/>
      <c r="C97" s="5"/>
      <c r="D97" s="5"/>
      <c r="E97" s="5"/>
      <c r="F97" s="4"/>
      <c r="G97" s="5"/>
      <c r="H97" s="5"/>
      <c r="I97" s="5"/>
      <c r="J97" s="5"/>
    </row>
    <row r="98">
      <c r="A98" s="13"/>
      <c r="B98" s="5"/>
      <c r="C98" s="5"/>
      <c r="D98" s="5"/>
      <c r="E98" s="5"/>
      <c r="F98" s="4"/>
      <c r="G98" s="5"/>
      <c r="H98" s="5"/>
      <c r="I98" s="5"/>
      <c r="J98" s="5"/>
    </row>
    <row r="99">
      <c r="A99" s="13"/>
      <c r="B99" s="5"/>
      <c r="C99" s="5"/>
      <c r="D99" s="5"/>
      <c r="E99" s="5"/>
      <c r="F99" s="4"/>
      <c r="G99" s="5"/>
      <c r="H99" s="5"/>
      <c r="I99" s="5"/>
      <c r="J99" s="5"/>
    </row>
    <row r="100">
      <c r="A100" s="13"/>
      <c r="B100" s="5"/>
      <c r="C100" s="5"/>
      <c r="D100" s="5"/>
      <c r="E100" s="5"/>
      <c r="F100" s="4"/>
      <c r="G100" s="5"/>
      <c r="H100" s="5"/>
      <c r="I100" s="5"/>
      <c r="J100" s="5"/>
    </row>
    <row r="101">
      <c r="A101" s="13"/>
      <c r="B101" s="5"/>
      <c r="C101" s="5"/>
      <c r="D101" s="5"/>
      <c r="E101" s="5"/>
      <c r="F101" s="4"/>
      <c r="G101" s="5"/>
      <c r="H101" s="5"/>
      <c r="I101" s="5"/>
      <c r="J101" s="5"/>
    </row>
    <row r="102">
      <c r="A102" s="13"/>
      <c r="B102" s="5"/>
      <c r="C102" s="5"/>
      <c r="D102" s="5"/>
      <c r="E102" s="5"/>
      <c r="F102" s="4"/>
      <c r="G102" s="5"/>
      <c r="H102" s="5"/>
      <c r="I102" s="5"/>
      <c r="J102" s="5"/>
    </row>
    <row r="103">
      <c r="A103" s="13"/>
      <c r="B103" s="5"/>
      <c r="C103" s="5"/>
      <c r="D103" s="5"/>
      <c r="E103" s="5"/>
      <c r="F103" s="4"/>
      <c r="G103" s="5"/>
      <c r="H103" s="5"/>
      <c r="I103" s="5"/>
      <c r="J103" s="5"/>
    </row>
    <row r="104">
      <c r="A104" s="13"/>
      <c r="B104" s="5"/>
      <c r="C104" s="5"/>
      <c r="D104" s="5"/>
      <c r="E104" s="5"/>
      <c r="F104" s="4"/>
      <c r="G104" s="5"/>
      <c r="H104" s="5"/>
      <c r="I104" s="5"/>
      <c r="J104" s="5"/>
    </row>
    <row r="105">
      <c r="A105" s="13"/>
      <c r="B105" s="5"/>
      <c r="C105" s="5"/>
      <c r="D105" s="5"/>
      <c r="E105" s="5"/>
      <c r="F105" s="4"/>
      <c r="G105" s="5"/>
      <c r="H105" s="5"/>
      <c r="I105" s="5"/>
      <c r="J105" s="5"/>
    </row>
    <row r="106">
      <c r="A106" s="13"/>
      <c r="B106" s="5"/>
      <c r="C106" s="5"/>
      <c r="D106" s="5"/>
      <c r="E106" s="5"/>
      <c r="F106" s="4"/>
      <c r="G106" s="5"/>
      <c r="H106" s="5"/>
      <c r="I106" s="5"/>
      <c r="J106" s="5"/>
    </row>
    <row r="107">
      <c r="A107" s="13"/>
      <c r="B107" s="5"/>
      <c r="C107" s="5"/>
      <c r="D107" s="5"/>
      <c r="E107" s="5"/>
      <c r="F107" s="4"/>
      <c r="G107" s="5"/>
      <c r="H107" s="5"/>
      <c r="I107" s="5"/>
      <c r="J107" s="5"/>
    </row>
    <row r="108">
      <c r="A108" s="13"/>
      <c r="B108" s="5"/>
      <c r="C108" s="5"/>
      <c r="D108" s="5"/>
      <c r="E108" s="5"/>
      <c r="F108" s="4"/>
      <c r="G108" s="5"/>
      <c r="H108" s="5"/>
      <c r="I108" s="5"/>
      <c r="J108" s="5"/>
    </row>
    <row r="109">
      <c r="A109" s="13"/>
      <c r="B109" s="5"/>
      <c r="C109" s="5"/>
      <c r="D109" s="5"/>
      <c r="E109" s="5"/>
      <c r="F109" s="4"/>
      <c r="G109" s="5"/>
      <c r="H109" s="5"/>
      <c r="I109" s="5"/>
      <c r="J109" s="5"/>
    </row>
    <row r="110">
      <c r="A110" s="13"/>
      <c r="B110" s="5"/>
      <c r="C110" s="5"/>
      <c r="D110" s="5"/>
      <c r="E110" s="5"/>
      <c r="F110" s="4"/>
      <c r="G110" s="5"/>
      <c r="H110" s="5"/>
      <c r="I110" s="5"/>
      <c r="J110" s="5"/>
    </row>
    <row r="111">
      <c r="A111" s="13"/>
      <c r="B111" s="5"/>
      <c r="C111" s="5"/>
      <c r="D111" s="5"/>
      <c r="E111" s="5"/>
      <c r="F111" s="4"/>
      <c r="G111" s="5"/>
      <c r="H111" s="5"/>
      <c r="I111" s="5"/>
      <c r="J111" s="5"/>
    </row>
    <row r="112">
      <c r="A112" s="13"/>
      <c r="B112" s="5"/>
      <c r="C112" s="5"/>
      <c r="D112" s="5"/>
      <c r="E112" s="5"/>
      <c r="F112" s="4"/>
      <c r="G112" s="5"/>
      <c r="H112" s="5"/>
      <c r="I112" s="5"/>
      <c r="J112" s="5"/>
    </row>
    <row r="113">
      <c r="A113" s="13"/>
      <c r="B113" s="5"/>
      <c r="C113" s="5"/>
      <c r="D113" s="5"/>
      <c r="E113" s="5"/>
      <c r="F113" s="4"/>
      <c r="G113" s="5"/>
      <c r="H113" s="5"/>
      <c r="I113" s="5"/>
      <c r="J113" s="5"/>
    </row>
    <row r="114">
      <c r="A114" s="13"/>
      <c r="B114" s="5"/>
      <c r="C114" s="5"/>
      <c r="D114" s="5"/>
      <c r="E114" s="5"/>
      <c r="F114" s="4"/>
      <c r="G114" s="5"/>
      <c r="H114" s="5"/>
      <c r="I114" s="5"/>
      <c r="J114" s="5"/>
    </row>
    <row r="115">
      <c r="A115" s="13"/>
      <c r="B115" s="5"/>
      <c r="C115" s="5"/>
      <c r="D115" s="5"/>
      <c r="E115" s="5"/>
      <c r="F115" s="4"/>
      <c r="G115" s="5"/>
      <c r="H115" s="5"/>
      <c r="I115" s="5"/>
      <c r="J115" s="5"/>
    </row>
    <row r="116">
      <c r="A116" s="13"/>
      <c r="B116" s="5"/>
      <c r="C116" s="5"/>
      <c r="D116" s="5"/>
      <c r="E116" s="5"/>
      <c r="F116" s="4"/>
      <c r="G116" s="5"/>
      <c r="H116" s="5"/>
      <c r="I116" s="5"/>
      <c r="J116" s="5"/>
    </row>
    <row r="117">
      <c r="A117" s="13"/>
      <c r="B117" s="5"/>
      <c r="C117" s="5"/>
      <c r="D117" s="5"/>
      <c r="E117" s="5"/>
      <c r="F117" s="4"/>
      <c r="G117" s="5"/>
      <c r="H117" s="5"/>
      <c r="I117" s="5"/>
      <c r="J117" s="5"/>
    </row>
    <row r="118">
      <c r="A118" s="13"/>
      <c r="B118" s="5"/>
      <c r="C118" s="5"/>
      <c r="D118" s="5"/>
      <c r="E118" s="5"/>
      <c r="F118" s="4"/>
      <c r="G118" s="5"/>
      <c r="H118" s="5"/>
      <c r="I118" s="5"/>
      <c r="J118" s="5"/>
    </row>
    <row r="119">
      <c r="A119" s="13"/>
      <c r="B119" s="5"/>
      <c r="C119" s="5"/>
      <c r="D119" s="5"/>
      <c r="E119" s="5"/>
      <c r="F119" s="4"/>
      <c r="G119" s="5"/>
      <c r="H119" s="5"/>
      <c r="I119" s="5"/>
      <c r="J119" s="5"/>
    </row>
    <row r="120">
      <c r="A120" s="13"/>
      <c r="B120" s="5"/>
      <c r="C120" s="5"/>
      <c r="D120" s="5"/>
      <c r="E120" s="5"/>
      <c r="F120" s="4"/>
      <c r="G120" s="5"/>
      <c r="H120" s="5"/>
      <c r="I120" s="5"/>
      <c r="J120" s="5"/>
    </row>
    <row r="121">
      <c r="A121" s="13"/>
      <c r="B121" s="5"/>
      <c r="C121" s="5"/>
      <c r="D121" s="5"/>
      <c r="E121" s="5"/>
      <c r="F121" s="4"/>
      <c r="G121" s="5"/>
      <c r="H121" s="5"/>
      <c r="I121" s="5"/>
      <c r="J121" s="5"/>
    </row>
    <row r="122">
      <c r="A122" s="13"/>
      <c r="B122" s="5"/>
      <c r="C122" s="5"/>
      <c r="D122" s="5"/>
      <c r="E122" s="5"/>
      <c r="F122" s="4"/>
      <c r="G122" s="5"/>
      <c r="H122" s="5"/>
      <c r="I122" s="5"/>
      <c r="J122" s="5"/>
    </row>
    <row r="123">
      <c r="A123" s="13"/>
      <c r="B123" s="5"/>
      <c r="C123" s="5"/>
      <c r="D123" s="5"/>
      <c r="E123" s="5"/>
      <c r="F123" s="4"/>
      <c r="G123" s="5"/>
      <c r="H123" s="5"/>
      <c r="I123" s="5"/>
      <c r="J123" s="5"/>
    </row>
    <row r="124">
      <c r="A124" s="13"/>
      <c r="B124" s="5"/>
      <c r="C124" s="5"/>
      <c r="D124" s="5"/>
      <c r="E124" s="5"/>
      <c r="F124" s="4"/>
      <c r="G124" s="5"/>
      <c r="H124" s="5"/>
      <c r="I124" s="5"/>
      <c r="J124" s="5"/>
    </row>
    <row r="125">
      <c r="A125" s="13"/>
      <c r="B125" s="5"/>
      <c r="C125" s="5"/>
      <c r="D125" s="5"/>
      <c r="E125" s="5"/>
      <c r="F125" s="4"/>
      <c r="G125" s="5"/>
      <c r="H125" s="5"/>
      <c r="I125" s="5"/>
      <c r="J125" s="5"/>
    </row>
    <row r="126">
      <c r="A126" s="13"/>
      <c r="B126" s="5"/>
      <c r="C126" s="5"/>
      <c r="D126" s="5"/>
      <c r="E126" s="5"/>
      <c r="F126" s="4"/>
      <c r="G126" s="5"/>
      <c r="H126" s="5"/>
      <c r="I126" s="5"/>
      <c r="J126" s="5"/>
    </row>
    <row r="127">
      <c r="A127" s="13"/>
      <c r="B127" s="5"/>
      <c r="C127" s="5"/>
      <c r="D127" s="5"/>
      <c r="E127" s="5"/>
      <c r="F127" s="4"/>
      <c r="G127" s="5"/>
      <c r="H127" s="5"/>
      <c r="I127" s="5"/>
      <c r="J127" s="5"/>
    </row>
    <row r="128">
      <c r="A128" s="13"/>
      <c r="B128" s="5"/>
      <c r="C128" s="5"/>
      <c r="D128" s="5"/>
      <c r="E128" s="5"/>
      <c r="F128" s="4"/>
      <c r="G128" s="5"/>
      <c r="H128" s="5"/>
      <c r="I128" s="5"/>
      <c r="J128" s="5"/>
    </row>
    <row r="129">
      <c r="A129" s="13"/>
      <c r="B129" s="5"/>
      <c r="C129" s="5"/>
      <c r="D129" s="5"/>
      <c r="E129" s="5"/>
      <c r="F129" s="4"/>
      <c r="G129" s="5"/>
      <c r="H129" s="5"/>
      <c r="I129" s="5"/>
      <c r="J129" s="5"/>
    </row>
    <row r="130">
      <c r="A130" s="13"/>
      <c r="B130" s="5"/>
      <c r="C130" s="5"/>
      <c r="D130" s="5"/>
      <c r="E130" s="5"/>
      <c r="F130" s="4"/>
      <c r="G130" s="5"/>
      <c r="H130" s="5"/>
      <c r="I130" s="5"/>
      <c r="J130" s="5"/>
    </row>
    <row r="131">
      <c r="A131" s="13"/>
      <c r="B131" s="5"/>
      <c r="C131" s="5"/>
      <c r="D131" s="5"/>
      <c r="E131" s="5"/>
      <c r="F131" s="4"/>
      <c r="G131" s="5"/>
      <c r="H131" s="5"/>
      <c r="I131" s="5"/>
      <c r="J131" s="5"/>
    </row>
    <row r="132">
      <c r="A132" s="13"/>
      <c r="B132" s="5"/>
      <c r="C132" s="5"/>
      <c r="D132" s="5"/>
      <c r="E132" s="5"/>
      <c r="F132" s="4"/>
      <c r="G132" s="5"/>
      <c r="H132" s="5"/>
      <c r="I132" s="5"/>
      <c r="J132" s="5"/>
    </row>
    <row r="133">
      <c r="A133" s="13"/>
      <c r="B133" s="5"/>
      <c r="C133" s="5"/>
      <c r="D133" s="5"/>
      <c r="E133" s="5"/>
      <c r="F133" s="4"/>
      <c r="G133" s="5"/>
      <c r="H133" s="5"/>
      <c r="I133" s="5"/>
      <c r="J133" s="5"/>
    </row>
    <row r="134">
      <c r="A134" s="13"/>
      <c r="B134" s="5"/>
      <c r="C134" s="5"/>
      <c r="D134" s="5"/>
      <c r="E134" s="5"/>
      <c r="F134" s="4"/>
      <c r="G134" s="5"/>
      <c r="H134" s="5"/>
      <c r="I134" s="5"/>
      <c r="J134" s="5"/>
    </row>
    <row r="135">
      <c r="A135" s="13"/>
      <c r="B135" s="5"/>
      <c r="C135" s="5"/>
      <c r="D135" s="5"/>
      <c r="E135" s="5"/>
      <c r="F135" s="4"/>
      <c r="G135" s="5"/>
      <c r="H135" s="5"/>
      <c r="I135" s="5"/>
      <c r="J135" s="5"/>
    </row>
    <row r="136">
      <c r="A136" s="13"/>
      <c r="B136" s="5"/>
      <c r="C136" s="5"/>
      <c r="D136" s="5"/>
      <c r="E136" s="5"/>
      <c r="F136" s="4"/>
      <c r="G136" s="5"/>
      <c r="H136" s="5"/>
      <c r="I136" s="5"/>
      <c r="J136" s="5"/>
    </row>
    <row r="137">
      <c r="A137" s="13"/>
      <c r="B137" s="5"/>
      <c r="C137" s="5"/>
      <c r="D137" s="5"/>
      <c r="E137" s="5"/>
      <c r="F137" s="4"/>
      <c r="G137" s="5"/>
      <c r="H137" s="5"/>
      <c r="I137" s="5"/>
      <c r="J137" s="5"/>
    </row>
    <row r="138">
      <c r="A138" s="13"/>
      <c r="B138" s="5"/>
      <c r="C138" s="5"/>
      <c r="D138" s="5"/>
      <c r="E138" s="5"/>
      <c r="F138" s="4"/>
      <c r="G138" s="5"/>
      <c r="H138" s="5"/>
      <c r="I138" s="5"/>
      <c r="J138" s="5"/>
    </row>
    <row r="139">
      <c r="A139" s="13"/>
      <c r="B139" s="5"/>
      <c r="C139" s="5"/>
      <c r="D139" s="5"/>
      <c r="E139" s="5"/>
      <c r="F139" s="4"/>
      <c r="G139" s="5"/>
      <c r="H139" s="5"/>
      <c r="I139" s="5"/>
      <c r="J139" s="5"/>
    </row>
    <row r="140">
      <c r="A140" s="13"/>
      <c r="B140" s="5"/>
      <c r="C140" s="5"/>
      <c r="D140" s="5"/>
      <c r="E140" s="5"/>
      <c r="F140" s="4"/>
      <c r="G140" s="5"/>
      <c r="H140" s="5"/>
      <c r="I140" s="5"/>
      <c r="J140" s="5"/>
    </row>
    <row r="141">
      <c r="A141" s="13"/>
      <c r="B141" s="5"/>
      <c r="C141" s="5"/>
      <c r="D141" s="5"/>
      <c r="E141" s="5"/>
      <c r="F141" s="4"/>
      <c r="G141" s="5"/>
      <c r="H141" s="5"/>
      <c r="I141" s="5"/>
      <c r="J141" s="5"/>
    </row>
    <row r="142">
      <c r="A142" s="13"/>
      <c r="B142" s="5"/>
      <c r="C142" s="5"/>
      <c r="D142" s="5"/>
      <c r="E142" s="5"/>
      <c r="F142" s="4"/>
      <c r="G142" s="5"/>
      <c r="H142" s="5"/>
      <c r="I142" s="5"/>
      <c r="J142" s="5"/>
    </row>
    <row r="143">
      <c r="A143" s="13"/>
      <c r="B143" s="5"/>
      <c r="C143" s="5"/>
      <c r="D143" s="5"/>
      <c r="E143" s="5"/>
      <c r="F143" s="4"/>
      <c r="G143" s="5"/>
      <c r="H143" s="5"/>
      <c r="I143" s="5"/>
      <c r="J143" s="5"/>
    </row>
    <row r="144">
      <c r="A144" s="13"/>
      <c r="B144" s="5"/>
      <c r="C144" s="5"/>
      <c r="D144" s="5"/>
      <c r="E144" s="5"/>
      <c r="F144" s="4"/>
      <c r="G144" s="5"/>
      <c r="H144" s="5"/>
      <c r="I144" s="5"/>
      <c r="J144" s="5"/>
    </row>
    <row r="145">
      <c r="A145" s="13"/>
      <c r="B145" s="5"/>
      <c r="C145" s="5"/>
      <c r="D145" s="5"/>
      <c r="E145" s="5"/>
      <c r="F145" s="4"/>
      <c r="G145" s="5"/>
      <c r="H145" s="5"/>
      <c r="I145" s="5"/>
      <c r="J145" s="5"/>
    </row>
    <row r="146">
      <c r="A146" s="13"/>
      <c r="B146" s="5"/>
      <c r="C146" s="5"/>
      <c r="D146" s="5"/>
      <c r="E146" s="5"/>
      <c r="F146" s="4"/>
      <c r="G146" s="5"/>
      <c r="H146" s="5"/>
      <c r="I146" s="5"/>
      <c r="J146" s="5"/>
    </row>
    <row r="147">
      <c r="A147" s="13"/>
      <c r="B147" s="5"/>
      <c r="C147" s="5"/>
      <c r="D147" s="5"/>
      <c r="E147" s="5"/>
      <c r="F147" s="4"/>
      <c r="G147" s="5"/>
      <c r="H147" s="5"/>
      <c r="I147" s="5"/>
      <c r="J147" s="5"/>
    </row>
    <row r="148">
      <c r="A148" s="13"/>
      <c r="B148" s="5"/>
      <c r="C148" s="5"/>
      <c r="D148" s="5"/>
      <c r="E148" s="5"/>
      <c r="F148" s="4"/>
      <c r="G148" s="5"/>
      <c r="H148" s="5"/>
      <c r="I148" s="5"/>
      <c r="J148" s="5"/>
    </row>
    <row r="149">
      <c r="A149" s="13"/>
      <c r="B149" s="5"/>
      <c r="C149" s="5"/>
      <c r="D149" s="5"/>
      <c r="E149" s="5"/>
      <c r="F149" s="4"/>
      <c r="G149" s="5"/>
      <c r="H149" s="5"/>
      <c r="I149" s="5"/>
      <c r="J149" s="5"/>
    </row>
    <row r="150">
      <c r="A150" s="13"/>
      <c r="B150" s="5"/>
      <c r="C150" s="5"/>
      <c r="D150" s="5"/>
      <c r="E150" s="5"/>
      <c r="F150" s="4"/>
      <c r="G150" s="5"/>
      <c r="H150" s="5"/>
      <c r="I150" s="5"/>
      <c r="J150" s="5"/>
    </row>
    <row r="151">
      <c r="A151" s="13"/>
      <c r="B151" s="5"/>
      <c r="C151" s="5"/>
      <c r="D151" s="5"/>
      <c r="E151" s="5"/>
      <c r="F151" s="4"/>
      <c r="G151" s="5"/>
      <c r="H151" s="5"/>
      <c r="I151" s="5"/>
      <c r="J151" s="5"/>
    </row>
    <row r="152">
      <c r="A152" s="13"/>
      <c r="B152" s="5"/>
      <c r="C152" s="5"/>
      <c r="D152" s="5"/>
      <c r="E152" s="5"/>
      <c r="F152" s="4"/>
      <c r="G152" s="5"/>
      <c r="H152" s="5"/>
      <c r="I152" s="5"/>
      <c r="J152" s="5"/>
    </row>
    <row r="153">
      <c r="A153" s="13"/>
      <c r="B153" s="5"/>
      <c r="C153" s="5"/>
      <c r="D153" s="5"/>
      <c r="E153" s="5"/>
      <c r="F153" s="4"/>
      <c r="G153" s="5"/>
      <c r="H153" s="5"/>
      <c r="I153" s="5"/>
      <c r="J153" s="5"/>
    </row>
    <row r="154">
      <c r="A154" s="13"/>
      <c r="B154" s="5"/>
      <c r="C154" s="5"/>
      <c r="D154" s="5"/>
      <c r="E154" s="5"/>
      <c r="F154" s="4"/>
      <c r="G154" s="5"/>
      <c r="H154" s="5"/>
      <c r="I154" s="5"/>
      <c r="J154" s="5"/>
    </row>
    <row r="155">
      <c r="A155" s="13"/>
      <c r="B155" s="5"/>
      <c r="C155" s="5"/>
      <c r="D155" s="5"/>
      <c r="E155" s="5"/>
      <c r="F155" s="4"/>
      <c r="G155" s="5"/>
      <c r="H155" s="5"/>
      <c r="I155" s="5"/>
      <c r="J155" s="5"/>
    </row>
    <row r="156">
      <c r="A156" s="13"/>
      <c r="B156" s="5"/>
      <c r="C156" s="5"/>
      <c r="D156" s="5"/>
      <c r="E156" s="5"/>
      <c r="F156" s="4"/>
      <c r="G156" s="5"/>
      <c r="H156" s="5"/>
      <c r="I156" s="5"/>
      <c r="J156" s="5"/>
    </row>
    <row r="157">
      <c r="A157" s="13"/>
      <c r="B157" s="5"/>
      <c r="C157" s="5"/>
      <c r="D157" s="5"/>
      <c r="E157" s="5"/>
      <c r="F157" s="4"/>
      <c r="G157" s="5"/>
      <c r="H157" s="5"/>
      <c r="I157" s="5"/>
      <c r="J157" s="5"/>
    </row>
    <row r="158">
      <c r="A158" s="13"/>
      <c r="B158" s="5"/>
      <c r="C158" s="5"/>
      <c r="D158" s="5"/>
      <c r="E158" s="5"/>
      <c r="F158" s="4"/>
      <c r="G158" s="5"/>
      <c r="H158" s="5"/>
      <c r="I158" s="5"/>
      <c r="J158" s="5"/>
    </row>
    <row r="159">
      <c r="A159" s="13"/>
      <c r="B159" s="5"/>
      <c r="C159" s="5"/>
      <c r="D159" s="5"/>
      <c r="E159" s="5"/>
      <c r="F159" s="4"/>
      <c r="G159" s="5"/>
      <c r="H159" s="5"/>
      <c r="I159" s="5"/>
      <c r="J159" s="5"/>
    </row>
    <row r="160">
      <c r="A160" s="13"/>
      <c r="B160" s="5"/>
      <c r="C160" s="5"/>
      <c r="D160" s="5"/>
      <c r="E160" s="5"/>
      <c r="F160" s="4"/>
      <c r="G160" s="5"/>
      <c r="H160" s="5"/>
      <c r="I160" s="5"/>
      <c r="J160" s="5"/>
    </row>
    <row r="161">
      <c r="A161" s="13"/>
      <c r="B161" s="5"/>
      <c r="C161" s="5"/>
      <c r="D161" s="5"/>
      <c r="E161" s="5"/>
      <c r="F161" s="4"/>
      <c r="G161" s="5"/>
      <c r="H161" s="5"/>
      <c r="I161" s="5"/>
      <c r="J161" s="5"/>
    </row>
    <row r="162">
      <c r="A162" s="13"/>
      <c r="B162" s="5"/>
      <c r="C162" s="5"/>
      <c r="D162" s="5"/>
      <c r="E162" s="5"/>
      <c r="F162" s="4"/>
      <c r="G162" s="5"/>
      <c r="H162" s="5"/>
      <c r="I162" s="5"/>
      <c r="J162" s="5"/>
    </row>
    <row r="163">
      <c r="A163" s="13"/>
      <c r="B163" s="5"/>
      <c r="C163" s="5"/>
      <c r="D163" s="5"/>
      <c r="E163" s="5"/>
      <c r="F163" s="4"/>
      <c r="G163" s="5"/>
      <c r="H163" s="5"/>
      <c r="I163" s="5"/>
      <c r="J163" s="5"/>
    </row>
    <row r="164">
      <c r="A164" s="13"/>
      <c r="B164" s="5"/>
      <c r="C164" s="5"/>
      <c r="D164" s="5"/>
      <c r="E164" s="5"/>
      <c r="F164" s="4"/>
      <c r="G164" s="5"/>
      <c r="H164" s="5"/>
      <c r="I164" s="5"/>
      <c r="J164" s="5"/>
    </row>
    <row r="165">
      <c r="A165" s="13"/>
      <c r="B165" s="5"/>
      <c r="C165" s="5"/>
      <c r="D165" s="5"/>
      <c r="E165" s="5"/>
      <c r="F165" s="4"/>
      <c r="G165" s="5"/>
      <c r="H165" s="5"/>
      <c r="I165" s="5"/>
      <c r="J165" s="5"/>
    </row>
    <row r="166">
      <c r="A166" s="13"/>
      <c r="B166" s="5"/>
      <c r="C166" s="5"/>
      <c r="D166" s="5"/>
      <c r="E166" s="5"/>
      <c r="F166" s="4"/>
      <c r="G166" s="5"/>
      <c r="H166" s="5"/>
      <c r="I166" s="5"/>
      <c r="J166" s="5"/>
    </row>
    <row r="167">
      <c r="A167" s="13"/>
      <c r="B167" s="5"/>
      <c r="C167" s="5"/>
      <c r="D167" s="5"/>
      <c r="E167" s="5"/>
      <c r="F167" s="4"/>
      <c r="G167" s="5"/>
      <c r="H167" s="5"/>
      <c r="I167" s="5"/>
      <c r="J167" s="5"/>
    </row>
    <row r="168">
      <c r="A168" s="13"/>
      <c r="B168" s="5"/>
      <c r="C168" s="5"/>
      <c r="D168" s="5"/>
      <c r="E168" s="5"/>
      <c r="F168" s="4"/>
      <c r="G168" s="5"/>
      <c r="H168" s="5"/>
      <c r="I168" s="5"/>
      <c r="J168" s="5"/>
    </row>
    <row r="169">
      <c r="A169" s="13"/>
      <c r="B169" s="5"/>
      <c r="C169" s="5"/>
      <c r="D169" s="5"/>
      <c r="E169" s="5"/>
      <c r="F169" s="4"/>
      <c r="G169" s="5"/>
      <c r="H169" s="5"/>
      <c r="I169" s="5"/>
      <c r="J169" s="5"/>
    </row>
    <row r="170">
      <c r="A170" s="13"/>
      <c r="B170" s="5"/>
      <c r="C170" s="5"/>
      <c r="D170" s="5"/>
      <c r="E170" s="5"/>
      <c r="F170" s="4"/>
      <c r="G170" s="5"/>
      <c r="H170" s="5"/>
      <c r="I170" s="5"/>
      <c r="J170" s="5"/>
    </row>
    <row r="171">
      <c r="A171" s="13"/>
      <c r="B171" s="5"/>
      <c r="C171" s="5"/>
      <c r="D171" s="5"/>
      <c r="E171" s="5"/>
      <c r="F171" s="4"/>
      <c r="G171" s="5"/>
      <c r="H171" s="5"/>
      <c r="I171" s="5"/>
      <c r="J171" s="5"/>
    </row>
    <row r="172">
      <c r="A172" s="13"/>
      <c r="B172" s="5"/>
      <c r="C172" s="5"/>
      <c r="D172" s="5"/>
      <c r="E172" s="5"/>
      <c r="F172" s="4"/>
      <c r="G172" s="5"/>
      <c r="H172" s="5"/>
      <c r="I172" s="5"/>
      <c r="J172" s="5"/>
    </row>
    <row r="173">
      <c r="A173" s="13"/>
      <c r="B173" s="5"/>
      <c r="C173" s="5"/>
      <c r="D173" s="5"/>
      <c r="E173" s="5"/>
      <c r="F173" s="4"/>
      <c r="G173" s="5"/>
      <c r="H173" s="5"/>
      <c r="I173" s="5"/>
      <c r="J173" s="5"/>
    </row>
    <row r="174">
      <c r="A174" s="13"/>
      <c r="B174" s="5"/>
      <c r="C174" s="5"/>
      <c r="D174" s="5"/>
      <c r="E174" s="5"/>
      <c r="F174" s="4"/>
      <c r="G174" s="5"/>
      <c r="H174" s="5"/>
      <c r="I174" s="5"/>
      <c r="J174" s="5"/>
    </row>
    <row r="175">
      <c r="A175" s="13"/>
      <c r="B175" s="5"/>
      <c r="C175" s="5"/>
      <c r="D175" s="5"/>
      <c r="E175" s="5"/>
      <c r="F175" s="4"/>
      <c r="G175" s="5"/>
      <c r="H175" s="5"/>
      <c r="I175" s="5"/>
      <c r="J175" s="5"/>
    </row>
    <row r="176">
      <c r="A176" s="13"/>
      <c r="B176" s="5"/>
      <c r="C176" s="5"/>
      <c r="D176" s="5"/>
      <c r="E176" s="5"/>
      <c r="F176" s="4"/>
      <c r="G176" s="5"/>
      <c r="H176" s="5"/>
      <c r="I176" s="5"/>
      <c r="J176" s="5"/>
    </row>
    <row r="177">
      <c r="A177" s="13"/>
      <c r="B177" s="5"/>
      <c r="C177" s="5"/>
      <c r="D177" s="5"/>
      <c r="E177" s="5"/>
      <c r="F177" s="4"/>
      <c r="G177" s="5"/>
      <c r="H177" s="5"/>
      <c r="I177" s="5"/>
      <c r="J177" s="5"/>
    </row>
    <row r="178">
      <c r="A178" s="13"/>
      <c r="B178" s="5"/>
      <c r="C178" s="5"/>
      <c r="D178" s="5"/>
      <c r="E178" s="5"/>
      <c r="F178" s="4"/>
      <c r="G178" s="5"/>
      <c r="H178" s="5"/>
      <c r="I178" s="5"/>
      <c r="J178" s="5"/>
    </row>
    <row r="179">
      <c r="A179" s="13"/>
      <c r="B179" s="5"/>
      <c r="C179" s="5"/>
      <c r="D179" s="5"/>
      <c r="E179" s="5"/>
      <c r="F179" s="4"/>
      <c r="G179" s="5"/>
      <c r="H179" s="5"/>
      <c r="I179" s="5"/>
      <c r="J179" s="5"/>
    </row>
    <row r="180">
      <c r="A180" s="13"/>
      <c r="B180" s="5"/>
      <c r="C180" s="5"/>
      <c r="D180" s="5"/>
      <c r="E180" s="5"/>
      <c r="F180" s="4"/>
      <c r="G180" s="5"/>
      <c r="H180" s="5"/>
      <c r="I180" s="5"/>
      <c r="J180" s="5"/>
    </row>
    <row r="181">
      <c r="A181" s="13"/>
      <c r="B181" s="5"/>
      <c r="C181" s="5"/>
      <c r="D181" s="5"/>
      <c r="E181" s="5"/>
      <c r="F181" s="4"/>
      <c r="G181" s="5"/>
      <c r="H181" s="5"/>
      <c r="I181" s="5"/>
      <c r="J181" s="5"/>
    </row>
    <row r="182">
      <c r="A182" s="13"/>
      <c r="B182" s="5"/>
      <c r="C182" s="5"/>
      <c r="D182" s="5"/>
      <c r="E182" s="5"/>
      <c r="F182" s="4"/>
      <c r="G182" s="5"/>
      <c r="H182" s="5"/>
      <c r="I182" s="5"/>
      <c r="J182" s="5"/>
    </row>
    <row r="183">
      <c r="A183" s="13"/>
      <c r="B183" s="5"/>
      <c r="C183" s="5"/>
      <c r="D183" s="5"/>
      <c r="E183" s="5"/>
      <c r="F183" s="4"/>
      <c r="G183" s="5"/>
      <c r="H183" s="5"/>
      <c r="I183" s="5"/>
      <c r="J183" s="5"/>
    </row>
    <row r="184">
      <c r="A184" s="13"/>
      <c r="B184" s="5"/>
      <c r="C184" s="5"/>
      <c r="D184" s="5"/>
      <c r="E184" s="5"/>
      <c r="F184" s="4"/>
      <c r="G184" s="5"/>
      <c r="H184" s="5"/>
      <c r="I184" s="5"/>
      <c r="J184" s="5"/>
    </row>
    <row r="185">
      <c r="A185" s="13"/>
      <c r="B185" s="5"/>
      <c r="C185" s="5"/>
      <c r="D185" s="5"/>
      <c r="E185" s="5"/>
      <c r="F185" s="4"/>
      <c r="G185" s="5"/>
      <c r="H185" s="5"/>
      <c r="I185" s="5"/>
      <c r="J185" s="5"/>
    </row>
    <row r="186">
      <c r="A186" s="13"/>
      <c r="B186" s="5"/>
      <c r="C186" s="5"/>
      <c r="D186" s="5"/>
      <c r="E186" s="5"/>
      <c r="F186" s="4"/>
      <c r="G186" s="5"/>
      <c r="H186" s="5"/>
      <c r="I186" s="5"/>
      <c r="J186" s="5"/>
    </row>
    <row r="187">
      <c r="A187" s="13"/>
      <c r="B187" s="5"/>
      <c r="C187" s="5"/>
      <c r="D187" s="5"/>
      <c r="E187" s="5"/>
      <c r="F187" s="4"/>
      <c r="G187" s="5"/>
      <c r="H187" s="5"/>
      <c r="I187" s="5"/>
      <c r="J187" s="5"/>
    </row>
    <row r="188">
      <c r="A188" s="13"/>
      <c r="B188" s="5"/>
      <c r="C188" s="5"/>
      <c r="D188" s="5"/>
      <c r="E188" s="5"/>
      <c r="F188" s="4"/>
      <c r="G188" s="5"/>
      <c r="H188" s="5"/>
      <c r="I188" s="5"/>
      <c r="J188" s="5"/>
    </row>
    <row r="189">
      <c r="A189" s="13"/>
      <c r="B189" s="5"/>
      <c r="C189" s="5"/>
      <c r="D189" s="5"/>
      <c r="E189" s="5"/>
      <c r="F189" s="4"/>
      <c r="G189" s="5"/>
      <c r="H189" s="5"/>
      <c r="I189" s="5"/>
      <c r="J189" s="5"/>
    </row>
    <row r="190">
      <c r="A190" s="13"/>
      <c r="B190" s="5"/>
      <c r="C190" s="5"/>
      <c r="D190" s="5"/>
      <c r="E190" s="5"/>
      <c r="F190" s="4"/>
      <c r="G190" s="5"/>
      <c r="H190" s="5"/>
      <c r="I190" s="5"/>
      <c r="J190" s="5"/>
    </row>
    <row r="191">
      <c r="A191" s="13"/>
      <c r="B191" s="5"/>
      <c r="C191" s="5"/>
      <c r="D191" s="5"/>
      <c r="E191" s="5"/>
      <c r="F191" s="4"/>
      <c r="G191" s="5"/>
      <c r="H191" s="5"/>
      <c r="I191" s="5"/>
      <c r="J191" s="5"/>
    </row>
    <row r="192">
      <c r="A192" s="13"/>
      <c r="B192" s="5"/>
      <c r="C192" s="5"/>
      <c r="D192" s="5"/>
      <c r="E192" s="5"/>
      <c r="F192" s="4"/>
      <c r="G192" s="5"/>
      <c r="H192" s="5"/>
      <c r="I192" s="5"/>
      <c r="J192" s="5"/>
    </row>
    <row r="193">
      <c r="A193" s="13"/>
      <c r="B193" s="5"/>
      <c r="C193" s="5"/>
      <c r="D193" s="5"/>
      <c r="E193" s="5"/>
      <c r="F193" s="4"/>
      <c r="G193" s="5"/>
      <c r="H193" s="5"/>
      <c r="I193" s="5"/>
      <c r="J193" s="5"/>
    </row>
    <row r="194">
      <c r="A194" s="13"/>
      <c r="B194" s="5"/>
      <c r="C194" s="5"/>
      <c r="D194" s="5"/>
      <c r="E194" s="5"/>
      <c r="F194" s="4"/>
      <c r="G194" s="5"/>
      <c r="H194" s="5"/>
      <c r="I194" s="5"/>
      <c r="J194" s="5"/>
    </row>
    <row r="195">
      <c r="A195" s="13"/>
      <c r="B195" s="5"/>
      <c r="C195" s="5"/>
      <c r="D195" s="5"/>
      <c r="E195" s="5"/>
      <c r="F195" s="4"/>
      <c r="G195" s="5"/>
      <c r="H195" s="5"/>
      <c r="I195" s="5"/>
      <c r="J195" s="5"/>
    </row>
    <row r="196">
      <c r="A196" s="13"/>
      <c r="B196" s="5"/>
      <c r="C196" s="5"/>
      <c r="D196" s="5"/>
      <c r="E196" s="5"/>
      <c r="F196" s="4"/>
      <c r="G196" s="5"/>
      <c r="H196" s="5"/>
      <c r="I196" s="5"/>
      <c r="J196" s="5"/>
    </row>
    <row r="197">
      <c r="A197" s="13"/>
      <c r="B197" s="5"/>
      <c r="C197" s="5"/>
      <c r="D197" s="5"/>
      <c r="E197" s="5"/>
      <c r="F197" s="4"/>
      <c r="G197" s="5"/>
      <c r="H197" s="5"/>
      <c r="I197" s="5"/>
      <c r="J197" s="5"/>
    </row>
    <row r="198">
      <c r="A198" s="13"/>
      <c r="B198" s="5"/>
      <c r="C198" s="5"/>
      <c r="D198" s="5"/>
      <c r="E198" s="5"/>
      <c r="F198" s="4"/>
      <c r="G198" s="5"/>
      <c r="H198" s="5"/>
      <c r="I198" s="5"/>
      <c r="J198" s="5"/>
    </row>
    <row r="199">
      <c r="A199" s="13"/>
      <c r="B199" s="5"/>
      <c r="C199" s="5"/>
      <c r="D199" s="5"/>
      <c r="E199" s="5"/>
      <c r="F199" s="4"/>
      <c r="G199" s="5"/>
      <c r="H199" s="5"/>
      <c r="I199" s="5"/>
      <c r="J199" s="5"/>
    </row>
    <row r="200">
      <c r="A200" s="13"/>
      <c r="B200" s="5"/>
      <c r="C200" s="5"/>
      <c r="D200" s="5"/>
      <c r="E200" s="5"/>
      <c r="F200" s="4"/>
      <c r="G200" s="5"/>
      <c r="H200" s="5"/>
      <c r="I200" s="5"/>
      <c r="J200" s="5"/>
    </row>
    <row r="201">
      <c r="A201" s="13"/>
      <c r="B201" s="5"/>
      <c r="C201" s="5"/>
      <c r="D201" s="5"/>
      <c r="E201" s="5"/>
      <c r="F201" s="4"/>
      <c r="G201" s="5"/>
      <c r="H201" s="5"/>
      <c r="I201" s="5"/>
      <c r="J201" s="5"/>
    </row>
    <row r="202">
      <c r="A202" s="13"/>
      <c r="B202" s="5"/>
      <c r="C202" s="5"/>
      <c r="D202" s="5"/>
      <c r="E202" s="5"/>
      <c r="F202" s="4"/>
      <c r="G202" s="5"/>
      <c r="H202" s="5"/>
      <c r="I202" s="5"/>
      <c r="J202" s="5"/>
    </row>
    <row r="203">
      <c r="A203" s="13"/>
      <c r="B203" s="5"/>
      <c r="C203" s="5"/>
      <c r="D203" s="5"/>
      <c r="E203" s="5"/>
      <c r="F203" s="4"/>
      <c r="G203" s="5"/>
      <c r="H203" s="5"/>
      <c r="I203" s="5"/>
      <c r="J203" s="5"/>
    </row>
    <row r="204">
      <c r="A204" s="13"/>
      <c r="B204" s="5"/>
      <c r="C204" s="5"/>
      <c r="D204" s="5"/>
      <c r="E204" s="5"/>
      <c r="F204" s="4"/>
      <c r="G204" s="5"/>
      <c r="H204" s="5"/>
      <c r="I204" s="5"/>
      <c r="J204" s="5"/>
    </row>
    <row r="205">
      <c r="A205" s="13"/>
      <c r="B205" s="5"/>
      <c r="C205" s="5"/>
      <c r="D205" s="5"/>
      <c r="E205" s="5"/>
      <c r="F205" s="4"/>
      <c r="G205" s="5"/>
      <c r="H205" s="5"/>
      <c r="I205" s="5"/>
      <c r="J205" s="5"/>
    </row>
    <row r="206">
      <c r="A206" s="13"/>
      <c r="B206" s="5"/>
      <c r="C206" s="5"/>
      <c r="D206" s="5"/>
      <c r="E206" s="5"/>
      <c r="F206" s="4"/>
      <c r="G206" s="5"/>
      <c r="H206" s="5"/>
      <c r="I206" s="5"/>
      <c r="J206" s="5"/>
    </row>
    <row r="207">
      <c r="A207" s="13"/>
      <c r="B207" s="5"/>
      <c r="C207" s="5"/>
      <c r="D207" s="5"/>
      <c r="E207" s="5"/>
      <c r="F207" s="4"/>
      <c r="G207" s="5"/>
      <c r="H207" s="5"/>
      <c r="I207" s="5"/>
      <c r="J207" s="5"/>
    </row>
    <row r="208">
      <c r="A208" s="13"/>
      <c r="B208" s="5"/>
      <c r="C208" s="5"/>
      <c r="D208" s="5"/>
      <c r="E208" s="5"/>
      <c r="F208" s="4"/>
      <c r="G208" s="5"/>
      <c r="H208" s="5"/>
      <c r="I208" s="5"/>
      <c r="J208" s="5"/>
    </row>
    <row r="209">
      <c r="A209" s="13"/>
      <c r="B209" s="5"/>
      <c r="C209" s="5"/>
      <c r="D209" s="5"/>
      <c r="E209" s="5"/>
      <c r="F209" s="4"/>
      <c r="G209" s="5"/>
      <c r="H209" s="5"/>
      <c r="I209" s="5"/>
      <c r="J209" s="5"/>
    </row>
    <row r="210">
      <c r="A210" s="13"/>
      <c r="B210" s="5"/>
      <c r="C210" s="5"/>
      <c r="D210" s="5"/>
      <c r="E210" s="5"/>
      <c r="F210" s="4"/>
      <c r="G210" s="5"/>
      <c r="H210" s="5"/>
      <c r="I210" s="5"/>
      <c r="J210" s="5"/>
    </row>
    <row r="211">
      <c r="A211" s="13"/>
      <c r="B211" s="5"/>
      <c r="C211" s="5"/>
      <c r="D211" s="5"/>
      <c r="E211" s="5"/>
      <c r="F211" s="4"/>
      <c r="G211" s="5"/>
      <c r="H211" s="5"/>
      <c r="I211" s="5"/>
      <c r="J211" s="5"/>
    </row>
    <row r="212">
      <c r="A212" s="13"/>
      <c r="B212" s="5"/>
      <c r="C212" s="5"/>
      <c r="D212" s="5"/>
      <c r="E212" s="5"/>
      <c r="F212" s="4"/>
      <c r="G212" s="5"/>
      <c r="H212" s="5"/>
      <c r="I212" s="5"/>
      <c r="J212" s="5"/>
    </row>
    <row r="213">
      <c r="A213" s="13"/>
      <c r="B213" s="5"/>
      <c r="C213" s="5"/>
      <c r="D213" s="5"/>
      <c r="E213" s="5"/>
      <c r="F213" s="4"/>
      <c r="G213" s="5"/>
      <c r="H213" s="5"/>
      <c r="I213" s="5"/>
      <c r="J213" s="5"/>
    </row>
    <row r="214">
      <c r="A214" s="13"/>
      <c r="B214" s="5"/>
      <c r="C214" s="5"/>
      <c r="D214" s="5"/>
      <c r="E214" s="5"/>
      <c r="F214" s="4"/>
      <c r="G214" s="5"/>
      <c r="H214" s="5"/>
      <c r="I214" s="5"/>
      <c r="J214" s="5"/>
    </row>
    <row r="215">
      <c r="A215" s="13"/>
      <c r="B215" s="5"/>
      <c r="C215" s="5"/>
      <c r="D215" s="5"/>
      <c r="E215" s="5"/>
      <c r="F215" s="4"/>
      <c r="G215" s="5"/>
      <c r="H215" s="5"/>
      <c r="I215" s="5"/>
      <c r="J215" s="5"/>
    </row>
    <row r="216">
      <c r="A216" s="13"/>
      <c r="B216" s="5"/>
      <c r="C216" s="5"/>
      <c r="D216" s="5"/>
      <c r="E216" s="5"/>
      <c r="F216" s="4"/>
      <c r="G216" s="5"/>
      <c r="H216" s="5"/>
      <c r="I216" s="5"/>
      <c r="J216" s="5"/>
    </row>
    <row r="217">
      <c r="A217" s="13"/>
      <c r="B217" s="5"/>
      <c r="C217" s="5"/>
      <c r="D217" s="5"/>
      <c r="E217" s="5"/>
      <c r="F217" s="4"/>
      <c r="G217" s="5"/>
      <c r="H217" s="5"/>
      <c r="I217" s="5"/>
      <c r="J217" s="5"/>
    </row>
    <row r="218">
      <c r="A218" s="13"/>
      <c r="B218" s="5"/>
      <c r="C218" s="5"/>
      <c r="D218" s="5"/>
      <c r="E218" s="5"/>
      <c r="F218" s="4"/>
      <c r="G218" s="5"/>
      <c r="H218" s="5"/>
      <c r="I218" s="5"/>
      <c r="J218" s="5"/>
    </row>
    <row r="219">
      <c r="A219" s="13"/>
      <c r="B219" s="5"/>
      <c r="C219" s="5"/>
      <c r="D219" s="5"/>
      <c r="E219" s="5"/>
      <c r="F219" s="4"/>
      <c r="G219" s="5"/>
      <c r="H219" s="5"/>
      <c r="I219" s="5"/>
      <c r="J219" s="5"/>
    </row>
    <row r="220">
      <c r="A220" s="13"/>
      <c r="B220" s="5"/>
      <c r="C220" s="5"/>
      <c r="D220" s="5"/>
      <c r="E220" s="5"/>
      <c r="F220" s="4"/>
      <c r="G220" s="5"/>
      <c r="H220" s="5"/>
      <c r="I220" s="5"/>
      <c r="J220" s="5"/>
    </row>
    <row r="221">
      <c r="A221" s="13"/>
      <c r="B221" s="5"/>
      <c r="C221" s="5"/>
      <c r="D221" s="5"/>
      <c r="E221" s="5"/>
      <c r="F221" s="4"/>
      <c r="G221" s="5"/>
      <c r="H221" s="5"/>
      <c r="I221" s="5"/>
      <c r="J221" s="5"/>
    </row>
    <row r="222">
      <c r="A222" s="13"/>
      <c r="B222" s="5"/>
      <c r="C222" s="5"/>
      <c r="D222" s="5"/>
      <c r="E222" s="5"/>
      <c r="F222" s="4"/>
      <c r="G222" s="5"/>
      <c r="H222" s="5"/>
      <c r="I222" s="5"/>
      <c r="J222" s="5"/>
    </row>
    <row r="223">
      <c r="A223" s="13"/>
      <c r="B223" s="5"/>
      <c r="C223" s="5"/>
      <c r="D223" s="5"/>
      <c r="E223" s="5"/>
      <c r="F223" s="4"/>
      <c r="G223" s="5"/>
      <c r="H223" s="5"/>
      <c r="I223" s="5"/>
      <c r="J223" s="5"/>
    </row>
    <row r="224">
      <c r="A224" s="13"/>
      <c r="B224" s="5"/>
      <c r="C224" s="5"/>
      <c r="D224" s="5"/>
      <c r="E224" s="5"/>
      <c r="F224" s="4"/>
      <c r="G224" s="5"/>
      <c r="H224" s="5"/>
      <c r="I224" s="5"/>
      <c r="J224" s="5"/>
    </row>
    <row r="225">
      <c r="A225" s="13"/>
      <c r="B225" s="5"/>
      <c r="C225" s="5"/>
      <c r="D225" s="5"/>
      <c r="E225" s="5"/>
      <c r="F225" s="4"/>
      <c r="G225" s="5"/>
      <c r="H225" s="5"/>
      <c r="I225" s="5"/>
      <c r="J225" s="5"/>
    </row>
    <row r="226">
      <c r="A226" s="13"/>
      <c r="B226" s="5"/>
      <c r="C226" s="5"/>
      <c r="D226" s="5"/>
      <c r="E226" s="5"/>
      <c r="F226" s="4"/>
      <c r="G226" s="5"/>
      <c r="H226" s="5"/>
      <c r="I226" s="5"/>
      <c r="J226" s="5"/>
    </row>
    <row r="227">
      <c r="A227" s="13"/>
      <c r="B227" s="5"/>
      <c r="C227" s="5"/>
      <c r="D227" s="5"/>
      <c r="E227" s="5"/>
      <c r="F227" s="4"/>
      <c r="G227" s="5"/>
      <c r="H227" s="5"/>
      <c r="I227" s="5"/>
      <c r="J227" s="5"/>
    </row>
    <row r="228">
      <c r="A228" s="13"/>
      <c r="B228" s="5"/>
      <c r="C228" s="5"/>
      <c r="D228" s="5"/>
      <c r="E228" s="5"/>
      <c r="F228" s="4"/>
      <c r="G228" s="5"/>
      <c r="H228" s="5"/>
      <c r="I228" s="5"/>
      <c r="J228" s="5"/>
    </row>
    <row r="229">
      <c r="A229" s="13"/>
      <c r="B229" s="5"/>
      <c r="C229" s="5"/>
      <c r="D229" s="5"/>
      <c r="E229" s="5"/>
      <c r="F229" s="4"/>
      <c r="G229" s="5"/>
      <c r="H229" s="5"/>
      <c r="I229" s="5"/>
      <c r="J229" s="5"/>
    </row>
    <row r="230">
      <c r="A230" s="13"/>
      <c r="B230" s="5"/>
      <c r="C230" s="5"/>
      <c r="D230" s="5"/>
      <c r="E230" s="5"/>
      <c r="F230" s="4"/>
      <c r="G230" s="5"/>
      <c r="H230" s="5"/>
      <c r="I230" s="5"/>
      <c r="J230" s="5"/>
    </row>
    <row r="231">
      <c r="A231" s="13"/>
      <c r="B231" s="5"/>
      <c r="C231" s="5"/>
      <c r="D231" s="5"/>
      <c r="E231" s="5"/>
      <c r="F231" s="4"/>
      <c r="G231" s="5"/>
      <c r="H231" s="5"/>
      <c r="I231" s="5"/>
      <c r="J231" s="5"/>
    </row>
    <row r="232">
      <c r="A232" s="13"/>
      <c r="B232" s="5"/>
      <c r="C232" s="5"/>
      <c r="D232" s="5"/>
      <c r="E232" s="5"/>
      <c r="F232" s="4"/>
      <c r="G232" s="5"/>
      <c r="H232" s="5"/>
      <c r="I232" s="5"/>
      <c r="J232" s="5"/>
    </row>
    <row r="233">
      <c r="A233" s="13"/>
      <c r="B233" s="5"/>
      <c r="C233" s="5"/>
      <c r="D233" s="5"/>
      <c r="E233" s="5"/>
      <c r="F233" s="4"/>
      <c r="G233" s="5"/>
      <c r="H233" s="5"/>
      <c r="I233" s="5"/>
      <c r="J233" s="5"/>
    </row>
    <row r="234">
      <c r="A234" s="13"/>
      <c r="B234" s="5"/>
      <c r="C234" s="5"/>
      <c r="D234" s="5"/>
      <c r="E234" s="5"/>
      <c r="F234" s="4"/>
      <c r="G234" s="5"/>
      <c r="H234" s="5"/>
      <c r="I234" s="5"/>
      <c r="J234" s="5"/>
    </row>
    <row r="235">
      <c r="A235" s="13"/>
      <c r="B235" s="5"/>
      <c r="C235" s="5"/>
      <c r="D235" s="5"/>
      <c r="E235" s="5"/>
      <c r="F235" s="4"/>
      <c r="G235" s="5"/>
      <c r="H235" s="5"/>
      <c r="I235" s="5"/>
      <c r="J235" s="5"/>
    </row>
    <row r="236">
      <c r="A236" s="13"/>
      <c r="B236" s="5"/>
      <c r="C236" s="5"/>
      <c r="D236" s="5"/>
      <c r="E236" s="5"/>
      <c r="F236" s="4"/>
      <c r="G236" s="5"/>
      <c r="H236" s="5"/>
      <c r="I236" s="5"/>
      <c r="J236" s="5"/>
    </row>
    <row r="237">
      <c r="A237" s="13"/>
      <c r="B237" s="5"/>
      <c r="C237" s="5"/>
      <c r="D237" s="5"/>
      <c r="E237" s="5"/>
      <c r="F237" s="4"/>
      <c r="G237" s="5"/>
      <c r="H237" s="5"/>
      <c r="I237" s="5"/>
      <c r="J237" s="5"/>
    </row>
    <row r="238">
      <c r="A238" s="13"/>
      <c r="B238" s="5"/>
      <c r="C238" s="5"/>
      <c r="D238" s="5"/>
      <c r="E238" s="5"/>
      <c r="F238" s="4"/>
      <c r="G238" s="5"/>
      <c r="H238" s="5"/>
      <c r="I238" s="5"/>
      <c r="J238" s="5"/>
    </row>
    <row r="239">
      <c r="A239" s="13"/>
      <c r="B239" s="5"/>
      <c r="C239" s="5"/>
      <c r="D239" s="5"/>
      <c r="E239" s="5"/>
      <c r="F239" s="4"/>
      <c r="G239" s="5"/>
      <c r="H239" s="5"/>
      <c r="I239" s="5"/>
      <c r="J239" s="5"/>
    </row>
    <row r="240">
      <c r="A240" s="13"/>
      <c r="B240" s="5"/>
      <c r="C240" s="5"/>
      <c r="D240" s="5"/>
      <c r="E240" s="5"/>
      <c r="F240" s="4"/>
      <c r="G240" s="5"/>
      <c r="H240" s="5"/>
      <c r="I240" s="5"/>
      <c r="J240" s="5"/>
    </row>
    <row r="241">
      <c r="A241" s="13"/>
      <c r="B241" s="5"/>
      <c r="C241" s="5"/>
      <c r="D241" s="5"/>
      <c r="E241" s="5"/>
      <c r="F241" s="4"/>
      <c r="G241" s="5"/>
      <c r="H241" s="5"/>
      <c r="I241" s="5"/>
      <c r="J241" s="5"/>
    </row>
    <row r="242">
      <c r="A242" s="13"/>
      <c r="B242" s="5"/>
      <c r="C242" s="5"/>
      <c r="D242" s="5"/>
      <c r="E242" s="5"/>
      <c r="F242" s="4"/>
      <c r="G242" s="5"/>
      <c r="H242" s="5"/>
      <c r="I242" s="5"/>
      <c r="J242" s="5"/>
    </row>
    <row r="243">
      <c r="A243" s="13"/>
      <c r="B243" s="5"/>
      <c r="C243" s="5"/>
      <c r="D243" s="5"/>
      <c r="E243" s="5"/>
      <c r="F243" s="4"/>
      <c r="G243" s="5"/>
      <c r="H243" s="5"/>
      <c r="I243" s="5"/>
      <c r="J243" s="5"/>
    </row>
    <row r="244">
      <c r="A244" s="13"/>
      <c r="B244" s="5"/>
      <c r="C244" s="5"/>
      <c r="D244" s="5"/>
      <c r="E244" s="5"/>
      <c r="F244" s="4"/>
      <c r="G244" s="5"/>
      <c r="H244" s="5"/>
      <c r="I244" s="5"/>
      <c r="J244" s="5"/>
    </row>
    <row r="245">
      <c r="A245" s="13"/>
      <c r="B245" s="5"/>
      <c r="C245" s="5"/>
      <c r="D245" s="5"/>
      <c r="E245" s="5"/>
      <c r="F245" s="4"/>
      <c r="G245" s="5"/>
      <c r="H245" s="5"/>
      <c r="I245" s="5"/>
      <c r="J245" s="5"/>
    </row>
    <row r="246">
      <c r="A246" s="13"/>
      <c r="B246" s="5"/>
      <c r="C246" s="5"/>
      <c r="D246" s="5"/>
      <c r="E246" s="5"/>
      <c r="F246" s="4"/>
      <c r="G246" s="5"/>
      <c r="H246" s="5"/>
      <c r="I246" s="5"/>
      <c r="J246" s="5"/>
    </row>
    <row r="247">
      <c r="A247" s="13"/>
      <c r="B247" s="5"/>
      <c r="C247" s="5"/>
      <c r="D247" s="5"/>
      <c r="E247" s="5"/>
      <c r="F247" s="4"/>
      <c r="G247" s="5"/>
      <c r="H247" s="5"/>
      <c r="I247" s="5"/>
      <c r="J247" s="5"/>
    </row>
    <row r="248">
      <c r="A248" s="13"/>
      <c r="B248" s="5"/>
      <c r="C248" s="5"/>
      <c r="D248" s="5"/>
      <c r="E248" s="5"/>
      <c r="F248" s="4"/>
      <c r="G248" s="5"/>
      <c r="H248" s="5"/>
      <c r="I248" s="5"/>
      <c r="J248" s="5"/>
    </row>
    <row r="249">
      <c r="A249" s="13"/>
      <c r="B249" s="5"/>
      <c r="C249" s="5"/>
      <c r="D249" s="5"/>
      <c r="E249" s="5"/>
      <c r="F249" s="4"/>
      <c r="G249" s="5"/>
      <c r="H249" s="5"/>
      <c r="I249" s="5"/>
      <c r="J249" s="5"/>
    </row>
    <row r="250">
      <c r="A250" s="13"/>
      <c r="B250" s="5"/>
      <c r="C250" s="5"/>
      <c r="D250" s="5"/>
      <c r="E250" s="5"/>
      <c r="F250" s="4"/>
      <c r="G250" s="5"/>
      <c r="H250" s="5"/>
      <c r="I250" s="5"/>
      <c r="J250" s="5"/>
    </row>
    <row r="251">
      <c r="A251" s="13"/>
      <c r="B251" s="5"/>
      <c r="C251" s="5"/>
      <c r="D251" s="5"/>
      <c r="E251" s="5"/>
      <c r="F251" s="4"/>
      <c r="G251" s="5"/>
      <c r="H251" s="5"/>
      <c r="I251" s="5"/>
      <c r="J251" s="5"/>
    </row>
    <row r="252">
      <c r="A252" s="13"/>
      <c r="B252" s="5"/>
      <c r="C252" s="5"/>
      <c r="D252" s="5"/>
      <c r="E252" s="5"/>
      <c r="F252" s="4"/>
      <c r="G252" s="5"/>
      <c r="H252" s="5"/>
      <c r="I252" s="5"/>
      <c r="J252" s="5"/>
    </row>
    <row r="253">
      <c r="A253" s="13"/>
      <c r="B253" s="5"/>
      <c r="C253" s="5"/>
      <c r="D253" s="5"/>
      <c r="E253" s="5"/>
      <c r="F253" s="4"/>
      <c r="G253" s="5"/>
      <c r="H253" s="5"/>
      <c r="I253" s="5"/>
      <c r="J253" s="5"/>
    </row>
    <row r="254">
      <c r="A254" s="13"/>
      <c r="B254" s="5"/>
      <c r="C254" s="5"/>
      <c r="D254" s="5"/>
      <c r="E254" s="5"/>
      <c r="F254" s="4"/>
      <c r="G254" s="5"/>
      <c r="H254" s="5"/>
      <c r="I254" s="5"/>
      <c r="J254" s="5"/>
    </row>
    <row r="255">
      <c r="A255" s="13"/>
      <c r="B255" s="5"/>
      <c r="C255" s="5"/>
      <c r="D255" s="5"/>
      <c r="E255" s="5"/>
      <c r="F255" s="4"/>
      <c r="G255" s="5"/>
      <c r="H255" s="5"/>
      <c r="I255" s="5"/>
      <c r="J255" s="5"/>
    </row>
    <row r="256">
      <c r="A256" s="13"/>
      <c r="B256" s="5"/>
      <c r="C256" s="5"/>
      <c r="D256" s="5"/>
      <c r="E256" s="5"/>
      <c r="F256" s="4"/>
      <c r="G256" s="5"/>
      <c r="H256" s="5"/>
      <c r="I256" s="5"/>
      <c r="J256" s="5"/>
    </row>
    <row r="257">
      <c r="A257" s="13"/>
      <c r="B257" s="5"/>
      <c r="C257" s="5"/>
      <c r="D257" s="5"/>
      <c r="E257" s="5"/>
      <c r="F257" s="4"/>
      <c r="G257" s="5"/>
      <c r="H257" s="5"/>
      <c r="I257" s="5"/>
      <c r="J257" s="5"/>
    </row>
    <row r="258">
      <c r="A258" s="13"/>
      <c r="B258" s="5"/>
      <c r="C258" s="5"/>
      <c r="D258" s="5"/>
      <c r="E258" s="5"/>
      <c r="F258" s="4"/>
      <c r="G258" s="5"/>
      <c r="H258" s="5"/>
      <c r="I258" s="5"/>
      <c r="J258" s="5"/>
    </row>
    <row r="259">
      <c r="A259" s="13"/>
      <c r="B259" s="5"/>
      <c r="C259" s="5"/>
      <c r="D259" s="5"/>
      <c r="E259" s="5"/>
      <c r="F259" s="4"/>
      <c r="G259" s="5"/>
      <c r="H259" s="5"/>
      <c r="I259" s="5"/>
      <c r="J259" s="5"/>
    </row>
    <row r="260">
      <c r="A260" s="13"/>
      <c r="B260" s="5"/>
      <c r="C260" s="5"/>
      <c r="D260" s="5"/>
      <c r="E260" s="5"/>
      <c r="F260" s="4"/>
      <c r="G260" s="5"/>
      <c r="H260" s="5"/>
      <c r="I260" s="5"/>
      <c r="J260" s="5"/>
    </row>
    <row r="261">
      <c r="A261" s="13"/>
      <c r="B261" s="5"/>
      <c r="C261" s="5"/>
      <c r="D261" s="5"/>
      <c r="E261" s="5"/>
      <c r="F261" s="4"/>
      <c r="G261" s="5"/>
      <c r="H261" s="5"/>
      <c r="I261" s="5"/>
      <c r="J261" s="5"/>
    </row>
    <row r="262">
      <c r="A262" s="13"/>
      <c r="B262" s="5"/>
      <c r="C262" s="5"/>
      <c r="D262" s="5"/>
      <c r="E262" s="5"/>
      <c r="F262" s="4"/>
      <c r="G262" s="5"/>
      <c r="H262" s="5"/>
      <c r="I262" s="5"/>
      <c r="J262" s="5"/>
    </row>
    <row r="263">
      <c r="A263" s="13"/>
      <c r="B263" s="5"/>
      <c r="C263" s="5"/>
      <c r="D263" s="5"/>
      <c r="E263" s="5"/>
      <c r="F263" s="4"/>
      <c r="G263" s="5"/>
      <c r="H263" s="5"/>
      <c r="I263" s="5"/>
      <c r="J263" s="5"/>
    </row>
    <row r="264">
      <c r="A264" s="13"/>
      <c r="B264" s="5"/>
      <c r="C264" s="5"/>
      <c r="D264" s="5"/>
      <c r="E264" s="5"/>
      <c r="F264" s="4"/>
      <c r="G264" s="5"/>
      <c r="H264" s="5"/>
      <c r="I264" s="5"/>
      <c r="J264" s="5"/>
    </row>
    <row r="265">
      <c r="A265" s="13"/>
      <c r="B265" s="5"/>
      <c r="C265" s="5"/>
      <c r="D265" s="5"/>
      <c r="E265" s="5"/>
      <c r="F265" s="4"/>
      <c r="G265" s="5"/>
      <c r="H265" s="5"/>
      <c r="I265" s="5"/>
      <c r="J265" s="5"/>
    </row>
    <row r="266">
      <c r="A266" s="13"/>
      <c r="B266" s="5"/>
      <c r="C266" s="5"/>
      <c r="D266" s="5"/>
      <c r="E266" s="5"/>
      <c r="F266" s="4"/>
      <c r="G266" s="5"/>
      <c r="H266" s="5"/>
      <c r="I266" s="5"/>
      <c r="J266" s="5"/>
    </row>
    <row r="267">
      <c r="A267" s="13"/>
      <c r="B267" s="5"/>
      <c r="C267" s="5"/>
      <c r="D267" s="5"/>
      <c r="E267" s="5"/>
      <c r="F267" s="4"/>
      <c r="G267" s="5"/>
      <c r="H267" s="5"/>
      <c r="I267" s="5"/>
      <c r="J267" s="5"/>
    </row>
    <row r="268">
      <c r="A268" s="13"/>
      <c r="B268" s="5"/>
      <c r="C268" s="5"/>
      <c r="D268" s="5"/>
      <c r="E268" s="5"/>
      <c r="F268" s="4"/>
      <c r="G268" s="5"/>
      <c r="H268" s="5"/>
      <c r="I268" s="5"/>
      <c r="J268" s="5"/>
    </row>
    <row r="269">
      <c r="A269" s="13"/>
      <c r="B269" s="5"/>
      <c r="C269" s="5"/>
      <c r="D269" s="5"/>
      <c r="E269" s="5"/>
      <c r="F269" s="4"/>
      <c r="G269" s="5"/>
      <c r="H269" s="5"/>
      <c r="I269" s="5"/>
      <c r="J269" s="5"/>
    </row>
    <row r="270">
      <c r="A270" s="13"/>
      <c r="B270" s="5"/>
      <c r="C270" s="5"/>
      <c r="D270" s="5"/>
      <c r="E270" s="5"/>
      <c r="F270" s="4"/>
      <c r="G270" s="5"/>
      <c r="H270" s="5"/>
      <c r="I270" s="5"/>
      <c r="J270" s="5"/>
    </row>
    <row r="271">
      <c r="A271" s="13"/>
      <c r="B271" s="5"/>
      <c r="C271" s="5"/>
      <c r="D271" s="5"/>
      <c r="E271" s="5"/>
      <c r="F271" s="4"/>
      <c r="G271" s="5"/>
      <c r="H271" s="5"/>
      <c r="I271" s="5"/>
      <c r="J271" s="5"/>
    </row>
    <row r="272">
      <c r="A272" s="13"/>
      <c r="B272" s="5"/>
      <c r="C272" s="5"/>
      <c r="D272" s="5"/>
      <c r="E272" s="5"/>
      <c r="F272" s="4"/>
      <c r="G272" s="5"/>
      <c r="H272" s="5"/>
      <c r="I272" s="5"/>
      <c r="J272" s="5"/>
    </row>
    <row r="273">
      <c r="A273" s="13"/>
      <c r="B273" s="5"/>
      <c r="C273" s="5"/>
      <c r="D273" s="5"/>
      <c r="E273" s="5"/>
      <c r="F273" s="4"/>
      <c r="G273" s="5"/>
      <c r="H273" s="5"/>
      <c r="I273" s="5"/>
      <c r="J273" s="5"/>
    </row>
    <row r="274">
      <c r="A274" s="13"/>
      <c r="B274" s="5"/>
      <c r="C274" s="5"/>
      <c r="D274" s="5"/>
      <c r="E274" s="5"/>
      <c r="F274" s="4"/>
      <c r="G274" s="5"/>
      <c r="H274" s="5"/>
      <c r="I274" s="5"/>
      <c r="J274" s="5"/>
    </row>
    <row r="275">
      <c r="A275" s="13"/>
      <c r="B275" s="5"/>
      <c r="C275" s="5"/>
      <c r="D275" s="5"/>
      <c r="E275" s="5"/>
      <c r="F275" s="4"/>
      <c r="G275" s="5"/>
      <c r="H275" s="5"/>
      <c r="I275" s="5"/>
      <c r="J275" s="5"/>
    </row>
    <row r="276">
      <c r="A276" s="13"/>
      <c r="B276" s="5"/>
      <c r="C276" s="5"/>
      <c r="D276" s="5"/>
      <c r="E276" s="5"/>
      <c r="F276" s="4"/>
      <c r="G276" s="5"/>
      <c r="H276" s="5"/>
      <c r="I276" s="5"/>
      <c r="J276" s="5"/>
    </row>
    <row r="277">
      <c r="A277" s="13"/>
      <c r="B277" s="5"/>
      <c r="C277" s="5"/>
      <c r="D277" s="5"/>
      <c r="E277" s="5"/>
      <c r="F277" s="4"/>
      <c r="G277" s="5"/>
      <c r="H277" s="5"/>
      <c r="I277" s="5"/>
      <c r="J277" s="5"/>
    </row>
    <row r="278">
      <c r="A278" s="13"/>
      <c r="B278" s="5"/>
      <c r="C278" s="5"/>
      <c r="D278" s="5"/>
      <c r="E278" s="5"/>
      <c r="F278" s="4"/>
      <c r="G278" s="5"/>
      <c r="H278" s="5"/>
      <c r="I278" s="5"/>
      <c r="J278" s="5"/>
    </row>
    <row r="279">
      <c r="A279" s="13"/>
      <c r="B279" s="5"/>
      <c r="C279" s="5"/>
      <c r="D279" s="5"/>
      <c r="E279" s="5"/>
      <c r="F279" s="4"/>
      <c r="G279" s="5"/>
      <c r="H279" s="5"/>
      <c r="I279" s="5"/>
      <c r="J279" s="5"/>
    </row>
    <row r="280">
      <c r="A280" s="13"/>
      <c r="B280" s="5"/>
      <c r="C280" s="5"/>
      <c r="D280" s="5"/>
      <c r="E280" s="5"/>
      <c r="F280" s="4"/>
      <c r="G280" s="5"/>
      <c r="H280" s="5"/>
      <c r="I280" s="5"/>
      <c r="J280" s="5"/>
    </row>
    <row r="281">
      <c r="A281" s="13"/>
      <c r="B281" s="5"/>
      <c r="C281" s="5"/>
      <c r="D281" s="5"/>
      <c r="E281" s="5"/>
      <c r="F281" s="4"/>
      <c r="G281" s="5"/>
      <c r="H281" s="5"/>
      <c r="I281" s="5"/>
      <c r="J281" s="5"/>
    </row>
    <row r="282">
      <c r="A282" s="13"/>
      <c r="B282" s="5"/>
      <c r="C282" s="5"/>
      <c r="D282" s="5"/>
      <c r="E282" s="5"/>
      <c r="F282" s="4"/>
      <c r="G282" s="5"/>
      <c r="H282" s="5"/>
      <c r="I282" s="5"/>
      <c r="J282" s="5"/>
    </row>
    <row r="283">
      <c r="A283" s="13"/>
      <c r="B283" s="5"/>
      <c r="C283" s="5"/>
      <c r="D283" s="5"/>
      <c r="E283" s="5"/>
      <c r="F283" s="4"/>
      <c r="G283" s="5"/>
      <c r="H283" s="5"/>
      <c r="I283" s="5"/>
      <c r="J283" s="5"/>
    </row>
    <row r="284">
      <c r="A284" s="13"/>
      <c r="B284" s="5"/>
      <c r="C284" s="5"/>
      <c r="D284" s="5"/>
      <c r="E284" s="5"/>
      <c r="F284" s="4"/>
      <c r="G284" s="5"/>
      <c r="H284" s="5"/>
      <c r="I284" s="5"/>
      <c r="J284" s="5"/>
    </row>
    <row r="285">
      <c r="A285" s="13"/>
      <c r="B285" s="5"/>
      <c r="C285" s="5"/>
      <c r="D285" s="5"/>
      <c r="E285" s="5"/>
      <c r="F285" s="4"/>
      <c r="G285" s="5"/>
      <c r="H285" s="5"/>
      <c r="I285" s="5"/>
      <c r="J285" s="5"/>
    </row>
    <row r="286">
      <c r="A286" s="13"/>
      <c r="B286" s="5"/>
      <c r="C286" s="5"/>
      <c r="D286" s="5"/>
      <c r="E286" s="5"/>
      <c r="F286" s="4"/>
      <c r="G286" s="5"/>
      <c r="H286" s="5"/>
      <c r="I286" s="5"/>
      <c r="J286" s="5"/>
    </row>
    <row r="287">
      <c r="A287" s="13"/>
      <c r="B287" s="5"/>
      <c r="C287" s="5"/>
      <c r="D287" s="5"/>
      <c r="E287" s="5"/>
      <c r="F287" s="4"/>
      <c r="G287" s="5"/>
      <c r="H287" s="5"/>
      <c r="I287" s="5"/>
      <c r="J287" s="5"/>
    </row>
    <row r="288">
      <c r="A288" s="13"/>
      <c r="B288" s="5"/>
      <c r="C288" s="5"/>
      <c r="D288" s="5"/>
      <c r="E288" s="5"/>
      <c r="F288" s="4"/>
      <c r="G288" s="5"/>
      <c r="H288" s="5"/>
      <c r="I288" s="5"/>
      <c r="J288" s="5"/>
    </row>
    <row r="289">
      <c r="A289" s="13"/>
      <c r="B289" s="5"/>
      <c r="C289" s="5"/>
      <c r="D289" s="5"/>
      <c r="E289" s="5"/>
      <c r="F289" s="4"/>
      <c r="G289" s="5"/>
      <c r="H289" s="5"/>
      <c r="I289" s="5"/>
      <c r="J289" s="5"/>
    </row>
    <row r="290">
      <c r="A290" s="13"/>
      <c r="B290" s="5"/>
      <c r="C290" s="5"/>
      <c r="D290" s="5"/>
      <c r="E290" s="5"/>
      <c r="F290" s="4"/>
      <c r="G290" s="5"/>
      <c r="H290" s="5"/>
      <c r="I290" s="5"/>
      <c r="J290" s="5"/>
    </row>
    <row r="291">
      <c r="A291" s="13"/>
      <c r="B291" s="5"/>
      <c r="C291" s="5"/>
      <c r="D291" s="5"/>
      <c r="E291" s="5"/>
      <c r="F291" s="4"/>
      <c r="G291" s="5"/>
      <c r="H291" s="5"/>
      <c r="I291" s="5"/>
      <c r="J291" s="5"/>
    </row>
    <row r="292">
      <c r="A292" s="13"/>
      <c r="B292" s="5"/>
      <c r="C292" s="5"/>
      <c r="D292" s="5"/>
      <c r="E292" s="5"/>
      <c r="F292" s="4"/>
      <c r="G292" s="5"/>
      <c r="H292" s="5"/>
      <c r="I292" s="5"/>
      <c r="J292" s="5"/>
    </row>
    <row r="293">
      <c r="A293" s="13"/>
      <c r="B293" s="5"/>
      <c r="C293" s="5"/>
      <c r="D293" s="5"/>
      <c r="E293" s="5"/>
      <c r="F293" s="4"/>
      <c r="G293" s="5"/>
      <c r="H293" s="5"/>
      <c r="I293" s="5"/>
      <c r="J293" s="5"/>
    </row>
    <row r="294">
      <c r="A294" s="13"/>
      <c r="B294" s="5"/>
      <c r="C294" s="5"/>
      <c r="D294" s="5"/>
      <c r="E294" s="5"/>
      <c r="F294" s="4"/>
      <c r="G294" s="5"/>
      <c r="H294" s="5"/>
      <c r="I294" s="5"/>
      <c r="J294" s="5"/>
    </row>
    <row r="295">
      <c r="A295" s="13"/>
      <c r="B295" s="5"/>
      <c r="C295" s="5"/>
      <c r="D295" s="5"/>
      <c r="E295" s="5"/>
      <c r="F295" s="4"/>
      <c r="G295" s="5"/>
      <c r="H295" s="5"/>
      <c r="I295" s="5"/>
      <c r="J295" s="5"/>
    </row>
    <row r="296">
      <c r="A296" s="13"/>
      <c r="B296" s="5"/>
      <c r="C296" s="5"/>
      <c r="D296" s="5"/>
      <c r="E296" s="5"/>
      <c r="F296" s="4"/>
      <c r="G296" s="5"/>
      <c r="H296" s="5"/>
      <c r="I296" s="5"/>
      <c r="J296" s="5"/>
    </row>
    <row r="297">
      <c r="A297" s="13"/>
      <c r="B297" s="5"/>
      <c r="C297" s="5"/>
      <c r="D297" s="5"/>
      <c r="E297" s="5"/>
      <c r="F297" s="4"/>
      <c r="G297" s="5"/>
      <c r="H297" s="5"/>
      <c r="I297" s="5"/>
      <c r="J297" s="5"/>
    </row>
    <row r="298">
      <c r="A298" s="13"/>
      <c r="B298" s="5"/>
      <c r="C298" s="5"/>
      <c r="D298" s="5"/>
      <c r="E298" s="5"/>
      <c r="F298" s="4"/>
      <c r="G298" s="5"/>
      <c r="H298" s="5"/>
      <c r="I298" s="5"/>
      <c r="J298" s="5"/>
    </row>
    <row r="299">
      <c r="A299" s="13"/>
      <c r="B299" s="5"/>
      <c r="C299" s="5"/>
      <c r="D299" s="5"/>
      <c r="E299" s="5"/>
      <c r="F299" s="4"/>
      <c r="G299" s="5"/>
      <c r="H299" s="5"/>
      <c r="I299" s="5"/>
      <c r="J299" s="5"/>
    </row>
    <row r="300">
      <c r="A300" s="13"/>
      <c r="B300" s="5"/>
      <c r="C300" s="5"/>
      <c r="D300" s="5"/>
      <c r="E300" s="5"/>
      <c r="F300" s="4"/>
      <c r="G300" s="5"/>
      <c r="H300" s="5"/>
      <c r="I300" s="5"/>
      <c r="J300" s="5"/>
    </row>
    <row r="301">
      <c r="A301" s="13"/>
      <c r="B301" s="5"/>
      <c r="C301" s="5"/>
      <c r="D301" s="5"/>
      <c r="E301" s="5"/>
      <c r="F301" s="4"/>
      <c r="G301" s="5"/>
      <c r="H301" s="5"/>
      <c r="I301" s="5"/>
      <c r="J301" s="5"/>
    </row>
    <row r="302">
      <c r="A302" s="13"/>
      <c r="B302" s="5"/>
      <c r="C302" s="5"/>
      <c r="D302" s="5"/>
      <c r="E302" s="5"/>
      <c r="F302" s="4"/>
      <c r="G302" s="5"/>
      <c r="H302" s="5"/>
      <c r="I302" s="5"/>
      <c r="J302" s="5"/>
    </row>
    <row r="303">
      <c r="A303" s="13"/>
      <c r="B303" s="5"/>
      <c r="C303" s="5"/>
      <c r="D303" s="5"/>
      <c r="E303" s="5"/>
      <c r="F303" s="4"/>
      <c r="G303" s="5"/>
      <c r="H303" s="5"/>
      <c r="I303" s="5"/>
      <c r="J303" s="5"/>
    </row>
    <row r="304">
      <c r="A304" s="13"/>
      <c r="B304" s="5"/>
      <c r="C304" s="5"/>
      <c r="D304" s="5"/>
      <c r="E304" s="5"/>
      <c r="F304" s="4"/>
      <c r="G304" s="5"/>
      <c r="H304" s="5"/>
      <c r="I304" s="5"/>
      <c r="J304" s="5"/>
    </row>
    <row r="305">
      <c r="A305" s="13"/>
      <c r="B305" s="5"/>
      <c r="C305" s="5"/>
      <c r="D305" s="5"/>
      <c r="E305" s="5"/>
      <c r="F305" s="4"/>
      <c r="G305" s="5"/>
      <c r="H305" s="5"/>
      <c r="I305" s="5"/>
      <c r="J305" s="5"/>
    </row>
    <row r="306">
      <c r="A306" s="13"/>
      <c r="B306" s="5"/>
      <c r="C306" s="5"/>
      <c r="D306" s="5"/>
      <c r="E306" s="5"/>
      <c r="F306" s="4"/>
      <c r="G306" s="5"/>
      <c r="H306" s="5"/>
      <c r="I306" s="5"/>
      <c r="J306" s="5"/>
    </row>
    <row r="307">
      <c r="A307" s="13"/>
      <c r="B307" s="5"/>
      <c r="C307" s="5"/>
      <c r="D307" s="5"/>
      <c r="E307" s="5"/>
      <c r="F307" s="4"/>
      <c r="G307" s="5"/>
      <c r="H307" s="5"/>
      <c r="I307" s="5"/>
      <c r="J307" s="5"/>
    </row>
    <row r="308">
      <c r="A308" s="13"/>
      <c r="B308" s="5"/>
      <c r="C308" s="5"/>
      <c r="D308" s="5"/>
      <c r="E308" s="5"/>
      <c r="F308" s="4"/>
      <c r="G308" s="5"/>
      <c r="H308" s="5"/>
      <c r="I308" s="5"/>
      <c r="J308" s="5"/>
    </row>
    <row r="309">
      <c r="A309" s="13"/>
      <c r="B309" s="5"/>
      <c r="C309" s="5"/>
      <c r="D309" s="5"/>
      <c r="E309" s="5"/>
      <c r="F309" s="4"/>
      <c r="G309" s="5"/>
      <c r="H309" s="5"/>
      <c r="I309" s="5"/>
      <c r="J309" s="5"/>
    </row>
    <row r="310">
      <c r="A310" s="13"/>
      <c r="B310" s="5"/>
      <c r="C310" s="5"/>
      <c r="D310" s="5"/>
      <c r="E310" s="5"/>
      <c r="F310" s="4"/>
      <c r="G310" s="5"/>
      <c r="H310" s="5"/>
      <c r="I310" s="5"/>
      <c r="J310" s="5"/>
    </row>
    <row r="311">
      <c r="A311" s="13"/>
      <c r="B311" s="5"/>
      <c r="C311" s="5"/>
      <c r="D311" s="5"/>
      <c r="E311" s="5"/>
      <c r="F311" s="4"/>
      <c r="G311" s="5"/>
      <c r="H311" s="5"/>
      <c r="I311" s="5"/>
      <c r="J311" s="5"/>
    </row>
    <row r="312">
      <c r="A312" s="13"/>
      <c r="B312" s="5"/>
      <c r="C312" s="5"/>
      <c r="D312" s="5"/>
      <c r="E312" s="5"/>
      <c r="F312" s="4"/>
      <c r="G312" s="5"/>
      <c r="H312" s="5"/>
      <c r="I312" s="5"/>
      <c r="J312" s="5"/>
    </row>
    <row r="313">
      <c r="A313" s="13"/>
      <c r="B313" s="5"/>
      <c r="C313" s="5"/>
      <c r="D313" s="5"/>
      <c r="E313" s="5"/>
      <c r="F313" s="4"/>
      <c r="G313" s="5"/>
      <c r="H313" s="5"/>
      <c r="I313" s="5"/>
      <c r="J313" s="5"/>
    </row>
    <row r="314">
      <c r="A314" s="13"/>
      <c r="B314" s="5"/>
      <c r="C314" s="5"/>
      <c r="D314" s="5"/>
      <c r="E314" s="5"/>
      <c r="F314" s="4"/>
      <c r="G314" s="5"/>
      <c r="H314" s="5"/>
      <c r="I314" s="5"/>
      <c r="J314" s="5"/>
    </row>
    <row r="315">
      <c r="A315" s="13"/>
      <c r="B315" s="5"/>
      <c r="C315" s="5"/>
      <c r="D315" s="5"/>
      <c r="E315" s="5"/>
      <c r="F315" s="4"/>
      <c r="G315" s="5"/>
      <c r="H315" s="5"/>
      <c r="I315" s="5"/>
      <c r="J315" s="5"/>
    </row>
    <row r="316">
      <c r="A316" s="13"/>
      <c r="B316" s="5"/>
      <c r="C316" s="5"/>
      <c r="D316" s="5"/>
      <c r="E316" s="5"/>
      <c r="F316" s="4"/>
      <c r="G316" s="5"/>
      <c r="H316" s="5"/>
      <c r="I316" s="5"/>
      <c r="J316" s="5"/>
    </row>
    <row r="317">
      <c r="A317" s="13"/>
      <c r="B317" s="5"/>
      <c r="C317" s="5"/>
      <c r="D317" s="5"/>
      <c r="E317" s="5"/>
      <c r="F317" s="4"/>
      <c r="G317" s="5"/>
      <c r="H317" s="5"/>
      <c r="I317" s="5"/>
      <c r="J317" s="5"/>
    </row>
    <row r="318">
      <c r="A318" s="13"/>
      <c r="B318" s="5"/>
      <c r="C318" s="5"/>
      <c r="D318" s="5"/>
      <c r="E318" s="5"/>
      <c r="F318" s="4"/>
      <c r="G318" s="5"/>
      <c r="H318" s="5"/>
      <c r="I318" s="5"/>
      <c r="J318" s="5"/>
    </row>
    <row r="319">
      <c r="A319" s="13"/>
      <c r="B319" s="5"/>
      <c r="C319" s="5"/>
      <c r="D319" s="5"/>
      <c r="E319" s="5"/>
      <c r="F319" s="4"/>
      <c r="G319" s="5"/>
      <c r="H319" s="5"/>
      <c r="I319" s="5"/>
      <c r="J319" s="5"/>
    </row>
    <row r="320">
      <c r="A320" s="13"/>
      <c r="B320" s="5"/>
      <c r="C320" s="5"/>
      <c r="D320" s="5"/>
      <c r="E320" s="5"/>
      <c r="F320" s="4"/>
      <c r="G320" s="5"/>
      <c r="H320" s="5"/>
      <c r="I320" s="5"/>
      <c r="J320" s="5"/>
    </row>
    <row r="321">
      <c r="A321" s="13"/>
      <c r="B321" s="5"/>
      <c r="C321" s="5"/>
      <c r="D321" s="5"/>
      <c r="E321" s="5"/>
      <c r="F321" s="4"/>
      <c r="G321" s="5"/>
      <c r="H321" s="5"/>
      <c r="I321" s="5"/>
      <c r="J321" s="5"/>
    </row>
    <row r="322">
      <c r="A322" s="13"/>
      <c r="B322" s="5"/>
      <c r="C322" s="5"/>
      <c r="D322" s="5"/>
      <c r="E322" s="5"/>
      <c r="F322" s="4"/>
      <c r="G322" s="5"/>
      <c r="H322" s="5"/>
      <c r="I322" s="5"/>
      <c r="J322" s="5"/>
    </row>
    <row r="323">
      <c r="A323" s="13"/>
      <c r="B323" s="5"/>
      <c r="C323" s="5"/>
      <c r="D323" s="5"/>
      <c r="E323" s="5"/>
      <c r="F323" s="4"/>
      <c r="G323" s="5"/>
      <c r="H323" s="5"/>
      <c r="I323" s="5"/>
      <c r="J323" s="5"/>
    </row>
    <row r="324">
      <c r="A324" s="13"/>
      <c r="B324" s="5"/>
      <c r="C324" s="5"/>
      <c r="D324" s="5"/>
      <c r="E324" s="5"/>
      <c r="F324" s="4"/>
      <c r="G324" s="5"/>
      <c r="H324" s="5"/>
      <c r="I324" s="5"/>
      <c r="J324" s="5"/>
    </row>
    <row r="325">
      <c r="A325" s="13"/>
      <c r="B325" s="5"/>
      <c r="C325" s="5"/>
      <c r="D325" s="5"/>
      <c r="E325" s="5"/>
      <c r="F325" s="4"/>
      <c r="G325" s="5"/>
      <c r="H325" s="5"/>
      <c r="I325" s="5"/>
      <c r="J325" s="5"/>
    </row>
    <row r="326">
      <c r="A326" s="13"/>
      <c r="B326" s="5"/>
      <c r="C326" s="5"/>
      <c r="D326" s="5"/>
      <c r="E326" s="5"/>
      <c r="F326" s="4"/>
      <c r="G326" s="5"/>
      <c r="H326" s="5"/>
      <c r="I326" s="5"/>
      <c r="J326" s="5"/>
    </row>
    <row r="327">
      <c r="A327" s="13"/>
      <c r="B327" s="5"/>
      <c r="C327" s="5"/>
      <c r="D327" s="5"/>
      <c r="E327" s="5"/>
      <c r="F327" s="4"/>
      <c r="G327" s="5"/>
      <c r="H327" s="5"/>
      <c r="I327" s="5"/>
      <c r="J327" s="5"/>
    </row>
    <row r="328">
      <c r="A328" s="13"/>
      <c r="B328" s="5"/>
      <c r="C328" s="5"/>
      <c r="D328" s="5"/>
      <c r="E328" s="5"/>
      <c r="F328" s="4"/>
      <c r="G328" s="5"/>
      <c r="H328" s="5"/>
      <c r="I328" s="5"/>
      <c r="J328" s="5"/>
    </row>
    <row r="329">
      <c r="A329" s="13"/>
      <c r="B329" s="5"/>
      <c r="C329" s="5"/>
      <c r="D329" s="5"/>
      <c r="E329" s="5"/>
      <c r="F329" s="4"/>
      <c r="G329" s="5"/>
      <c r="H329" s="5"/>
      <c r="I329" s="5"/>
      <c r="J329" s="5"/>
    </row>
    <row r="330">
      <c r="A330" s="13"/>
      <c r="B330" s="5"/>
      <c r="C330" s="5"/>
      <c r="D330" s="5"/>
      <c r="E330" s="5"/>
      <c r="F330" s="4"/>
      <c r="G330" s="5"/>
      <c r="H330" s="5"/>
      <c r="I330" s="5"/>
      <c r="J330" s="5"/>
    </row>
    <row r="331">
      <c r="A331" s="13"/>
      <c r="B331" s="5"/>
      <c r="C331" s="5"/>
      <c r="D331" s="5"/>
      <c r="E331" s="5"/>
      <c r="F331" s="4"/>
      <c r="G331" s="5"/>
      <c r="H331" s="5"/>
      <c r="I331" s="5"/>
      <c r="J331" s="5"/>
    </row>
    <row r="332">
      <c r="A332" s="13"/>
      <c r="B332" s="5"/>
      <c r="C332" s="5"/>
      <c r="D332" s="5"/>
      <c r="E332" s="5"/>
      <c r="F332" s="4"/>
      <c r="G332" s="5"/>
      <c r="H332" s="5"/>
      <c r="I332" s="5"/>
      <c r="J332" s="5"/>
    </row>
    <row r="333">
      <c r="A333" s="13"/>
      <c r="B333" s="5"/>
      <c r="C333" s="5"/>
      <c r="D333" s="5"/>
      <c r="E333" s="5"/>
      <c r="F333" s="4"/>
      <c r="G333" s="5"/>
      <c r="H333" s="5"/>
      <c r="I333" s="5"/>
      <c r="J333" s="5"/>
    </row>
    <row r="334">
      <c r="A334" s="13"/>
      <c r="B334" s="5"/>
      <c r="C334" s="5"/>
      <c r="D334" s="5"/>
      <c r="E334" s="5"/>
      <c r="F334" s="4"/>
      <c r="G334" s="5"/>
      <c r="H334" s="5"/>
      <c r="I334" s="5"/>
      <c r="J334" s="5"/>
    </row>
    <row r="335">
      <c r="A335" s="13"/>
      <c r="B335" s="5"/>
      <c r="C335" s="5"/>
      <c r="D335" s="5"/>
      <c r="E335" s="5"/>
      <c r="F335" s="4"/>
      <c r="G335" s="5"/>
      <c r="H335" s="5"/>
      <c r="I335" s="5"/>
      <c r="J335" s="5"/>
    </row>
    <row r="336">
      <c r="A336" s="13"/>
      <c r="B336" s="5"/>
      <c r="C336" s="5"/>
      <c r="D336" s="5"/>
      <c r="E336" s="5"/>
      <c r="F336" s="4"/>
      <c r="G336" s="5"/>
      <c r="H336" s="5"/>
      <c r="I336" s="5"/>
      <c r="J336" s="5"/>
    </row>
    <row r="337">
      <c r="A337" s="13"/>
      <c r="B337" s="5"/>
      <c r="C337" s="5"/>
      <c r="D337" s="5"/>
      <c r="E337" s="5"/>
      <c r="F337" s="4"/>
      <c r="G337" s="5"/>
      <c r="H337" s="5"/>
      <c r="I337" s="5"/>
      <c r="J337" s="5"/>
    </row>
    <row r="338">
      <c r="A338" s="13"/>
      <c r="B338" s="5"/>
      <c r="C338" s="5"/>
      <c r="D338" s="5"/>
      <c r="E338" s="5"/>
      <c r="F338" s="4"/>
      <c r="G338" s="5"/>
      <c r="H338" s="5"/>
      <c r="I338" s="5"/>
      <c r="J338" s="5"/>
    </row>
    <row r="339">
      <c r="A339" s="13"/>
      <c r="B339" s="5"/>
      <c r="C339" s="5"/>
      <c r="D339" s="5"/>
      <c r="E339" s="5"/>
      <c r="F339" s="4"/>
      <c r="G339" s="5"/>
      <c r="H339" s="5"/>
      <c r="I339" s="5"/>
      <c r="J339" s="5"/>
    </row>
    <row r="340">
      <c r="A340" s="13"/>
      <c r="B340" s="5"/>
      <c r="C340" s="5"/>
      <c r="D340" s="5"/>
      <c r="E340" s="5"/>
      <c r="F340" s="4"/>
      <c r="G340" s="5"/>
      <c r="H340" s="5"/>
      <c r="I340" s="5"/>
      <c r="J340" s="5"/>
    </row>
    <row r="341">
      <c r="A341" s="13"/>
      <c r="B341" s="5"/>
      <c r="C341" s="5"/>
      <c r="D341" s="5"/>
      <c r="E341" s="5"/>
      <c r="F341" s="4"/>
      <c r="G341" s="5"/>
      <c r="H341" s="5"/>
      <c r="I341" s="5"/>
      <c r="J341" s="5"/>
    </row>
    <row r="342">
      <c r="A342" s="13"/>
      <c r="B342" s="5"/>
      <c r="C342" s="5"/>
      <c r="D342" s="5"/>
      <c r="E342" s="5"/>
      <c r="F342" s="4"/>
      <c r="G342" s="5"/>
      <c r="H342" s="5"/>
      <c r="I342" s="5"/>
      <c r="J342" s="5"/>
    </row>
    <row r="343">
      <c r="A343" s="13"/>
      <c r="B343" s="5"/>
      <c r="C343" s="5"/>
      <c r="D343" s="5"/>
      <c r="E343" s="5"/>
      <c r="F343" s="4"/>
      <c r="G343" s="5"/>
      <c r="H343" s="5"/>
      <c r="I343" s="5"/>
      <c r="J343" s="5"/>
    </row>
    <row r="344">
      <c r="A344" s="13"/>
      <c r="B344" s="5"/>
      <c r="C344" s="5"/>
      <c r="D344" s="5"/>
      <c r="E344" s="5"/>
      <c r="F344" s="4"/>
      <c r="G344" s="5"/>
      <c r="H344" s="5"/>
      <c r="I344" s="5"/>
      <c r="J344" s="5"/>
    </row>
    <row r="345">
      <c r="A345" s="13"/>
      <c r="B345" s="5"/>
      <c r="C345" s="5"/>
      <c r="D345" s="5"/>
      <c r="E345" s="5"/>
      <c r="F345" s="4"/>
      <c r="G345" s="5"/>
      <c r="H345" s="5"/>
      <c r="I345" s="5"/>
      <c r="J345" s="5"/>
    </row>
    <row r="346">
      <c r="A346" s="13"/>
      <c r="B346" s="5"/>
      <c r="C346" s="5"/>
      <c r="D346" s="5"/>
      <c r="E346" s="5"/>
      <c r="F346" s="4"/>
      <c r="G346" s="5"/>
      <c r="H346" s="5"/>
      <c r="I346" s="5"/>
      <c r="J346" s="5"/>
    </row>
    <row r="347">
      <c r="A347" s="13"/>
      <c r="B347" s="5"/>
      <c r="C347" s="5"/>
      <c r="D347" s="5"/>
      <c r="E347" s="5"/>
      <c r="F347" s="4"/>
      <c r="G347" s="5"/>
      <c r="H347" s="5"/>
      <c r="I347" s="5"/>
      <c r="J347" s="5"/>
    </row>
    <row r="348">
      <c r="A348" s="13"/>
      <c r="B348" s="5"/>
      <c r="C348" s="5"/>
      <c r="D348" s="5"/>
      <c r="E348" s="5"/>
      <c r="F348" s="4"/>
      <c r="G348" s="5"/>
      <c r="H348" s="5"/>
      <c r="I348" s="5"/>
      <c r="J348" s="5"/>
    </row>
    <row r="349">
      <c r="A349" s="13"/>
      <c r="B349" s="5"/>
      <c r="C349" s="5"/>
      <c r="D349" s="5"/>
      <c r="E349" s="5"/>
      <c r="F349" s="4"/>
      <c r="G349" s="5"/>
      <c r="H349" s="5"/>
      <c r="I349" s="5"/>
      <c r="J349" s="5"/>
    </row>
    <row r="350">
      <c r="A350" s="13"/>
      <c r="B350" s="5"/>
      <c r="C350" s="5"/>
      <c r="D350" s="5"/>
      <c r="E350" s="5"/>
      <c r="F350" s="4"/>
      <c r="G350" s="5"/>
      <c r="H350" s="5"/>
      <c r="I350" s="5"/>
      <c r="J350" s="5"/>
    </row>
    <row r="351">
      <c r="A351" s="13"/>
      <c r="B351" s="5"/>
      <c r="C351" s="5"/>
      <c r="D351" s="5"/>
      <c r="E351" s="5"/>
      <c r="F351" s="4"/>
      <c r="G351" s="5"/>
      <c r="H351" s="5"/>
      <c r="I351" s="5"/>
      <c r="J351" s="5"/>
    </row>
    <row r="352">
      <c r="A352" s="13"/>
      <c r="B352" s="5"/>
      <c r="C352" s="5"/>
      <c r="D352" s="5"/>
      <c r="E352" s="5"/>
      <c r="F352" s="4"/>
      <c r="G352" s="5"/>
      <c r="H352" s="5"/>
      <c r="I352" s="5"/>
      <c r="J352" s="5"/>
    </row>
    <row r="353">
      <c r="A353" s="13"/>
      <c r="B353" s="5"/>
      <c r="C353" s="5"/>
      <c r="D353" s="5"/>
      <c r="E353" s="5"/>
      <c r="F353" s="4"/>
      <c r="G353" s="5"/>
      <c r="H353" s="5"/>
      <c r="I353" s="5"/>
      <c r="J353" s="5"/>
    </row>
    <row r="354">
      <c r="A354" s="13"/>
      <c r="B354" s="5"/>
      <c r="C354" s="5"/>
      <c r="D354" s="5"/>
      <c r="E354" s="5"/>
      <c r="F354" s="4"/>
      <c r="G354" s="5"/>
      <c r="H354" s="5"/>
      <c r="I354" s="5"/>
      <c r="J354" s="5"/>
    </row>
    <row r="355">
      <c r="A355" s="13"/>
      <c r="B355" s="5"/>
      <c r="C355" s="5"/>
      <c r="D355" s="5"/>
      <c r="E355" s="5"/>
      <c r="F355" s="4"/>
      <c r="G355" s="5"/>
      <c r="H355" s="5"/>
      <c r="I355" s="5"/>
      <c r="J355" s="5"/>
    </row>
    <row r="356">
      <c r="A356" s="13"/>
      <c r="B356" s="5"/>
      <c r="C356" s="5"/>
      <c r="D356" s="5"/>
      <c r="E356" s="5"/>
      <c r="F356" s="4"/>
      <c r="G356" s="5"/>
      <c r="H356" s="5"/>
      <c r="I356" s="5"/>
      <c r="J356" s="5"/>
    </row>
    <row r="357">
      <c r="A357" s="13"/>
      <c r="B357" s="5"/>
      <c r="C357" s="5"/>
      <c r="D357" s="5"/>
      <c r="E357" s="5"/>
      <c r="F357" s="4"/>
      <c r="G357" s="5"/>
      <c r="H357" s="5"/>
      <c r="I357" s="5"/>
      <c r="J357" s="5"/>
    </row>
    <row r="358">
      <c r="A358" s="13"/>
      <c r="B358" s="5"/>
      <c r="C358" s="5"/>
      <c r="D358" s="5"/>
      <c r="E358" s="5"/>
      <c r="F358" s="4"/>
      <c r="G358" s="5"/>
      <c r="H358" s="5"/>
      <c r="I358" s="5"/>
      <c r="J358" s="5"/>
    </row>
    <row r="359">
      <c r="A359" s="13"/>
      <c r="B359" s="5"/>
      <c r="C359" s="5"/>
      <c r="D359" s="5"/>
      <c r="E359" s="5"/>
      <c r="F359" s="4"/>
      <c r="G359" s="5"/>
      <c r="H359" s="5"/>
      <c r="I359" s="5"/>
      <c r="J359" s="5"/>
    </row>
    <row r="360">
      <c r="A360" s="13"/>
      <c r="B360" s="5"/>
      <c r="C360" s="5"/>
      <c r="D360" s="5"/>
      <c r="E360" s="5"/>
      <c r="F360" s="4"/>
      <c r="G360" s="5"/>
      <c r="H360" s="5"/>
      <c r="I360" s="5"/>
      <c r="J360" s="5"/>
    </row>
    <row r="361">
      <c r="A361" s="13"/>
      <c r="B361" s="5"/>
      <c r="C361" s="5"/>
      <c r="D361" s="5"/>
      <c r="E361" s="5"/>
      <c r="F361" s="4"/>
      <c r="G361" s="5"/>
      <c r="H361" s="5"/>
      <c r="I361" s="5"/>
      <c r="J361" s="5"/>
    </row>
    <row r="362">
      <c r="A362" s="13"/>
      <c r="B362" s="5"/>
      <c r="C362" s="5"/>
      <c r="D362" s="5"/>
      <c r="E362" s="5"/>
      <c r="F362" s="4"/>
      <c r="G362" s="5"/>
      <c r="H362" s="5"/>
      <c r="I362" s="5"/>
      <c r="J362" s="5"/>
    </row>
    <row r="363">
      <c r="A363" s="13"/>
      <c r="B363" s="5"/>
      <c r="C363" s="5"/>
      <c r="D363" s="5"/>
      <c r="E363" s="5"/>
      <c r="F363" s="4"/>
      <c r="G363" s="5"/>
      <c r="H363" s="5"/>
      <c r="I363" s="5"/>
      <c r="J363" s="5"/>
    </row>
    <row r="364">
      <c r="A364" s="13"/>
      <c r="B364" s="5"/>
      <c r="C364" s="5"/>
      <c r="D364" s="5"/>
      <c r="E364" s="5"/>
      <c r="F364" s="4"/>
      <c r="G364" s="5"/>
      <c r="H364" s="5"/>
      <c r="I364" s="5"/>
      <c r="J364" s="5"/>
    </row>
    <row r="365">
      <c r="A365" s="13"/>
      <c r="B365" s="5"/>
      <c r="C365" s="5"/>
      <c r="D365" s="5"/>
      <c r="E365" s="5"/>
      <c r="F365" s="4"/>
      <c r="G365" s="5"/>
      <c r="H365" s="5"/>
      <c r="I365" s="5"/>
      <c r="J365" s="5"/>
    </row>
    <row r="366">
      <c r="A366" s="13"/>
      <c r="B366" s="5"/>
      <c r="C366" s="5"/>
      <c r="D366" s="5"/>
      <c r="E366" s="5"/>
      <c r="F366" s="4"/>
      <c r="G366" s="5"/>
      <c r="H366" s="5"/>
      <c r="I366" s="5"/>
      <c r="J366" s="5"/>
    </row>
    <row r="367">
      <c r="A367" s="13"/>
      <c r="B367" s="5"/>
      <c r="C367" s="5"/>
      <c r="D367" s="5"/>
      <c r="E367" s="5"/>
      <c r="F367" s="4"/>
      <c r="G367" s="5"/>
      <c r="H367" s="5"/>
      <c r="I367" s="5"/>
      <c r="J367" s="5"/>
    </row>
    <row r="368">
      <c r="A368" s="13"/>
      <c r="B368" s="5"/>
      <c r="C368" s="5"/>
      <c r="D368" s="5"/>
      <c r="E368" s="5"/>
      <c r="F368" s="4"/>
      <c r="G368" s="5"/>
      <c r="H368" s="5"/>
      <c r="I368" s="5"/>
      <c r="J368" s="5"/>
    </row>
    <row r="369">
      <c r="A369" s="13"/>
      <c r="B369" s="5"/>
      <c r="C369" s="5"/>
      <c r="D369" s="5"/>
      <c r="E369" s="5"/>
      <c r="F369" s="4"/>
      <c r="G369" s="5"/>
      <c r="H369" s="5"/>
      <c r="I369" s="5"/>
      <c r="J369" s="5"/>
    </row>
    <row r="370">
      <c r="A370" s="13"/>
      <c r="B370" s="5"/>
      <c r="C370" s="5"/>
      <c r="D370" s="5"/>
      <c r="E370" s="5"/>
      <c r="F370" s="4"/>
      <c r="G370" s="5"/>
      <c r="H370" s="5"/>
      <c r="I370" s="5"/>
      <c r="J370" s="5"/>
    </row>
    <row r="371">
      <c r="A371" s="13"/>
      <c r="B371" s="5"/>
      <c r="C371" s="5"/>
      <c r="D371" s="5"/>
      <c r="E371" s="5"/>
      <c r="F371" s="4"/>
      <c r="G371" s="5"/>
      <c r="H371" s="5"/>
      <c r="I371" s="5"/>
      <c r="J371" s="5"/>
    </row>
    <row r="372">
      <c r="A372" s="13"/>
      <c r="B372" s="5"/>
      <c r="C372" s="5"/>
      <c r="D372" s="5"/>
      <c r="E372" s="5"/>
      <c r="F372" s="4"/>
      <c r="G372" s="5"/>
      <c r="H372" s="5"/>
      <c r="I372" s="5"/>
      <c r="J372" s="5"/>
    </row>
    <row r="373">
      <c r="A373" s="13"/>
      <c r="B373" s="5"/>
      <c r="C373" s="5"/>
      <c r="D373" s="5"/>
      <c r="E373" s="5"/>
      <c r="F373" s="4"/>
      <c r="G373" s="5"/>
      <c r="H373" s="5"/>
      <c r="I373" s="5"/>
      <c r="J373" s="5"/>
    </row>
    <row r="374">
      <c r="A374" s="13"/>
      <c r="B374" s="5"/>
      <c r="C374" s="5"/>
      <c r="D374" s="5"/>
      <c r="E374" s="5"/>
      <c r="F374" s="4"/>
      <c r="G374" s="5"/>
      <c r="H374" s="5"/>
      <c r="I374" s="5"/>
      <c r="J374" s="5"/>
    </row>
    <row r="375">
      <c r="A375" s="13"/>
      <c r="B375" s="5"/>
      <c r="C375" s="5"/>
      <c r="D375" s="5"/>
      <c r="E375" s="5"/>
      <c r="F375" s="4"/>
      <c r="G375" s="5"/>
      <c r="H375" s="5"/>
      <c r="I375" s="5"/>
      <c r="J375" s="5"/>
    </row>
    <row r="376">
      <c r="A376" s="13"/>
      <c r="B376" s="5"/>
      <c r="C376" s="5"/>
      <c r="D376" s="5"/>
      <c r="E376" s="5"/>
      <c r="F376" s="4"/>
      <c r="G376" s="5"/>
      <c r="H376" s="5"/>
      <c r="I376" s="5"/>
      <c r="J376" s="5"/>
    </row>
    <row r="377">
      <c r="A377" s="13"/>
      <c r="B377" s="5"/>
      <c r="C377" s="5"/>
      <c r="D377" s="5"/>
      <c r="E377" s="5"/>
      <c r="F377" s="4"/>
      <c r="G377" s="5"/>
      <c r="H377" s="5"/>
      <c r="I377" s="5"/>
      <c r="J377" s="5"/>
    </row>
    <row r="378">
      <c r="A378" s="13"/>
      <c r="B378" s="5"/>
      <c r="C378" s="5"/>
      <c r="D378" s="5"/>
      <c r="E378" s="5"/>
      <c r="F378" s="4"/>
      <c r="G378" s="5"/>
      <c r="H378" s="5"/>
      <c r="I378" s="5"/>
      <c r="J378" s="5"/>
    </row>
    <row r="379">
      <c r="A379" s="13"/>
      <c r="B379" s="5"/>
      <c r="C379" s="5"/>
      <c r="D379" s="5"/>
      <c r="E379" s="5"/>
      <c r="F379" s="4"/>
      <c r="G379" s="5"/>
      <c r="H379" s="5"/>
      <c r="I379" s="5"/>
      <c r="J379" s="5"/>
    </row>
    <row r="380">
      <c r="A380" s="13"/>
      <c r="B380" s="5"/>
      <c r="C380" s="5"/>
      <c r="D380" s="5"/>
      <c r="E380" s="5"/>
      <c r="F380" s="4"/>
      <c r="G380" s="5"/>
      <c r="H380" s="5"/>
      <c r="I380" s="5"/>
      <c r="J380" s="5"/>
    </row>
    <row r="381">
      <c r="A381" s="13"/>
      <c r="B381" s="5"/>
      <c r="C381" s="5"/>
      <c r="D381" s="5"/>
      <c r="E381" s="5"/>
      <c r="F381" s="4"/>
      <c r="G381" s="5"/>
      <c r="H381" s="5"/>
      <c r="I381" s="5"/>
      <c r="J381" s="5"/>
    </row>
    <row r="382">
      <c r="A382" s="13"/>
      <c r="B382" s="5"/>
      <c r="C382" s="5"/>
      <c r="D382" s="5"/>
      <c r="E382" s="5"/>
      <c r="F382" s="4"/>
      <c r="G382" s="5"/>
      <c r="H382" s="5"/>
      <c r="I382" s="5"/>
      <c r="J382" s="5"/>
    </row>
    <row r="383">
      <c r="A383" s="13"/>
      <c r="B383" s="5"/>
      <c r="C383" s="5"/>
      <c r="D383" s="5"/>
      <c r="E383" s="5"/>
      <c r="F383" s="4"/>
      <c r="G383" s="5"/>
      <c r="H383" s="5"/>
      <c r="I383" s="5"/>
      <c r="J383" s="5"/>
    </row>
    <row r="384">
      <c r="A384" s="13"/>
      <c r="B384" s="5"/>
      <c r="C384" s="5"/>
      <c r="D384" s="5"/>
      <c r="E384" s="5"/>
      <c r="F384" s="4"/>
      <c r="G384" s="5"/>
      <c r="H384" s="5"/>
      <c r="I384" s="5"/>
      <c r="J384" s="5"/>
    </row>
    <row r="385">
      <c r="A385" s="13"/>
      <c r="B385" s="5"/>
      <c r="C385" s="5"/>
      <c r="D385" s="5"/>
      <c r="E385" s="5"/>
      <c r="F385" s="4"/>
      <c r="G385" s="5"/>
      <c r="H385" s="5"/>
      <c r="I385" s="5"/>
      <c r="J385" s="5"/>
    </row>
    <row r="386">
      <c r="A386" s="13"/>
      <c r="B386" s="5"/>
      <c r="C386" s="5"/>
      <c r="D386" s="5"/>
      <c r="E386" s="5"/>
      <c r="F386" s="4"/>
      <c r="G386" s="5"/>
      <c r="H386" s="5"/>
      <c r="I386" s="5"/>
      <c r="J386" s="5"/>
    </row>
    <row r="387">
      <c r="A387" s="13"/>
      <c r="B387" s="5"/>
      <c r="C387" s="5"/>
      <c r="D387" s="5"/>
      <c r="E387" s="5"/>
      <c r="F387" s="4"/>
      <c r="G387" s="5"/>
      <c r="H387" s="5"/>
      <c r="I387" s="5"/>
      <c r="J387" s="5"/>
    </row>
    <row r="388">
      <c r="A388" s="13"/>
      <c r="B388" s="5"/>
      <c r="C388" s="5"/>
      <c r="D388" s="5"/>
      <c r="E388" s="5"/>
      <c r="F388" s="4"/>
      <c r="G388" s="5"/>
      <c r="H388" s="5"/>
      <c r="I388" s="5"/>
      <c r="J388" s="5"/>
    </row>
    <row r="389">
      <c r="A389" s="13"/>
      <c r="B389" s="5"/>
      <c r="C389" s="5"/>
      <c r="D389" s="5"/>
      <c r="E389" s="5"/>
      <c r="F389" s="4"/>
      <c r="G389" s="5"/>
      <c r="H389" s="5"/>
      <c r="I389" s="5"/>
      <c r="J389" s="5"/>
    </row>
    <row r="390">
      <c r="A390" s="13"/>
      <c r="B390" s="5"/>
      <c r="C390" s="5"/>
      <c r="D390" s="5"/>
      <c r="E390" s="5"/>
      <c r="F390" s="4"/>
      <c r="G390" s="5"/>
      <c r="H390" s="5"/>
      <c r="I390" s="5"/>
      <c r="J390" s="5"/>
    </row>
    <row r="391">
      <c r="A391" s="13"/>
      <c r="B391" s="5"/>
      <c r="C391" s="5"/>
      <c r="D391" s="5"/>
      <c r="E391" s="5"/>
      <c r="F391" s="4"/>
      <c r="G391" s="5"/>
      <c r="H391" s="5"/>
      <c r="I391" s="5"/>
      <c r="J391" s="5"/>
    </row>
    <row r="392">
      <c r="A392" s="13"/>
      <c r="B392" s="5"/>
      <c r="C392" s="5"/>
      <c r="D392" s="5"/>
      <c r="E392" s="5"/>
      <c r="F392" s="4"/>
      <c r="G392" s="5"/>
      <c r="H392" s="5"/>
      <c r="I392" s="5"/>
      <c r="J392" s="5"/>
    </row>
    <row r="393">
      <c r="A393" s="13"/>
      <c r="B393" s="5"/>
      <c r="C393" s="5"/>
      <c r="D393" s="5"/>
      <c r="E393" s="5"/>
      <c r="F393" s="4"/>
      <c r="G393" s="5"/>
      <c r="H393" s="5"/>
      <c r="I393" s="5"/>
      <c r="J393" s="5"/>
    </row>
    <row r="394">
      <c r="A394" s="13"/>
      <c r="B394" s="5"/>
      <c r="C394" s="5"/>
      <c r="D394" s="5"/>
      <c r="E394" s="5"/>
      <c r="F394" s="4"/>
      <c r="G394" s="5"/>
      <c r="H394" s="5"/>
      <c r="I394" s="5"/>
      <c r="J394" s="5"/>
    </row>
    <row r="395">
      <c r="A395" s="13"/>
      <c r="B395" s="5"/>
      <c r="C395" s="5"/>
      <c r="D395" s="5"/>
      <c r="E395" s="5"/>
      <c r="F395" s="4"/>
      <c r="G395" s="5"/>
      <c r="H395" s="5"/>
      <c r="I395" s="5"/>
      <c r="J395" s="5"/>
    </row>
    <row r="396">
      <c r="A396" s="13"/>
      <c r="B396" s="5"/>
      <c r="C396" s="5"/>
      <c r="D396" s="5"/>
      <c r="E396" s="5"/>
      <c r="F396" s="4"/>
      <c r="G396" s="5"/>
      <c r="H396" s="5"/>
      <c r="I396" s="5"/>
      <c r="J396" s="5"/>
    </row>
    <row r="397">
      <c r="A397" s="13"/>
      <c r="B397" s="5"/>
      <c r="C397" s="5"/>
      <c r="D397" s="5"/>
      <c r="E397" s="5"/>
      <c r="F397" s="4"/>
      <c r="G397" s="5"/>
      <c r="H397" s="5"/>
      <c r="I397" s="5"/>
      <c r="J397" s="5"/>
    </row>
    <row r="398">
      <c r="A398" s="13"/>
      <c r="B398" s="5"/>
      <c r="C398" s="5"/>
      <c r="D398" s="5"/>
      <c r="E398" s="5"/>
      <c r="F398" s="4"/>
      <c r="G398" s="5"/>
      <c r="H398" s="5"/>
      <c r="I398" s="5"/>
      <c r="J398" s="5"/>
    </row>
    <row r="399">
      <c r="A399" s="13"/>
      <c r="B399" s="5"/>
      <c r="C399" s="5"/>
      <c r="D399" s="5"/>
      <c r="E399" s="5"/>
      <c r="F399" s="4"/>
      <c r="G399" s="5"/>
      <c r="H399" s="5"/>
      <c r="I399" s="5"/>
      <c r="J399" s="5"/>
    </row>
    <row r="400">
      <c r="A400" s="13"/>
      <c r="B400" s="5"/>
      <c r="C400" s="5"/>
      <c r="D400" s="5"/>
      <c r="E400" s="5"/>
      <c r="F400" s="4"/>
      <c r="G400" s="5"/>
      <c r="H400" s="5"/>
      <c r="I400" s="5"/>
      <c r="J400" s="5"/>
    </row>
    <row r="401">
      <c r="A401" s="13"/>
      <c r="B401" s="5"/>
      <c r="C401" s="5"/>
      <c r="D401" s="5"/>
      <c r="E401" s="5"/>
      <c r="F401" s="4"/>
      <c r="G401" s="5"/>
      <c r="H401" s="5"/>
      <c r="I401" s="5"/>
      <c r="J401" s="5"/>
    </row>
    <row r="402">
      <c r="A402" s="13"/>
      <c r="B402" s="5"/>
      <c r="C402" s="5"/>
      <c r="D402" s="5"/>
      <c r="E402" s="5"/>
      <c r="F402" s="4"/>
      <c r="G402" s="5"/>
      <c r="H402" s="5"/>
      <c r="I402" s="5"/>
      <c r="J402" s="5"/>
    </row>
    <row r="403">
      <c r="A403" s="13"/>
      <c r="B403" s="5"/>
      <c r="C403" s="5"/>
      <c r="D403" s="5"/>
      <c r="E403" s="5"/>
      <c r="F403" s="4"/>
      <c r="G403" s="5"/>
      <c r="H403" s="5"/>
      <c r="I403" s="5"/>
      <c r="J403" s="5"/>
    </row>
    <row r="404">
      <c r="A404" s="13"/>
      <c r="B404" s="5"/>
      <c r="C404" s="5"/>
      <c r="D404" s="5"/>
      <c r="E404" s="5"/>
      <c r="F404" s="4"/>
      <c r="G404" s="5"/>
      <c r="H404" s="5"/>
      <c r="I404" s="5"/>
      <c r="J404" s="5"/>
    </row>
    <row r="405">
      <c r="A405" s="13"/>
      <c r="B405" s="5"/>
      <c r="C405" s="5"/>
      <c r="D405" s="5"/>
      <c r="E405" s="5"/>
      <c r="F405" s="4"/>
      <c r="G405" s="5"/>
      <c r="H405" s="5"/>
      <c r="I405" s="5"/>
      <c r="J405" s="5"/>
    </row>
    <row r="406">
      <c r="A406" s="13"/>
      <c r="B406" s="5"/>
      <c r="C406" s="5"/>
      <c r="D406" s="5"/>
      <c r="E406" s="5"/>
      <c r="F406" s="4"/>
      <c r="G406" s="5"/>
      <c r="H406" s="5"/>
      <c r="I406" s="5"/>
      <c r="J406" s="5"/>
    </row>
    <row r="407">
      <c r="A407" s="13"/>
      <c r="B407" s="5"/>
      <c r="C407" s="5"/>
      <c r="D407" s="5"/>
      <c r="E407" s="5"/>
      <c r="F407" s="4"/>
      <c r="G407" s="5"/>
      <c r="H407" s="5"/>
      <c r="I407" s="5"/>
      <c r="J407" s="5"/>
    </row>
    <row r="408">
      <c r="A408" s="13"/>
      <c r="B408" s="5"/>
      <c r="C408" s="5"/>
      <c r="D408" s="5"/>
      <c r="E408" s="5"/>
      <c r="F408" s="4"/>
      <c r="G408" s="5"/>
      <c r="H408" s="5"/>
      <c r="I408" s="5"/>
      <c r="J408" s="5"/>
    </row>
    <row r="409">
      <c r="A409" s="13"/>
      <c r="B409" s="5"/>
      <c r="C409" s="5"/>
      <c r="D409" s="5"/>
      <c r="E409" s="5"/>
      <c r="F409" s="4"/>
      <c r="G409" s="5"/>
      <c r="H409" s="5"/>
      <c r="I409" s="5"/>
      <c r="J409" s="5"/>
    </row>
    <row r="410">
      <c r="A410" s="13"/>
      <c r="B410" s="5"/>
      <c r="C410" s="5"/>
      <c r="D410" s="5"/>
      <c r="E410" s="5"/>
      <c r="F410" s="4"/>
      <c r="G410" s="5"/>
      <c r="H410" s="5"/>
      <c r="I410" s="5"/>
      <c r="J410" s="5"/>
    </row>
    <row r="411">
      <c r="A411" s="13"/>
      <c r="B411" s="5"/>
      <c r="C411" s="5"/>
      <c r="D411" s="5"/>
      <c r="E411" s="5"/>
      <c r="F411" s="4"/>
      <c r="G411" s="5"/>
      <c r="H411" s="5"/>
      <c r="I411" s="5"/>
      <c r="J411" s="5"/>
    </row>
    <row r="412">
      <c r="A412" s="13"/>
      <c r="B412" s="5"/>
      <c r="C412" s="5"/>
      <c r="D412" s="5"/>
      <c r="E412" s="5"/>
      <c r="F412" s="4"/>
      <c r="G412" s="5"/>
      <c r="H412" s="5"/>
      <c r="I412" s="5"/>
      <c r="J412" s="5"/>
    </row>
    <row r="413">
      <c r="A413" s="13"/>
      <c r="B413" s="5"/>
      <c r="C413" s="5"/>
      <c r="D413" s="5"/>
      <c r="E413" s="5"/>
      <c r="F413" s="4"/>
      <c r="G413" s="5"/>
      <c r="H413" s="5"/>
      <c r="I413" s="5"/>
      <c r="J413" s="5"/>
    </row>
    <row r="414">
      <c r="A414" s="13"/>
      <c r="B414" s="5"/>
      <c r="C414" s="5"/>
      <c r="D414" s="5"/>
      <c r="E414" s="5"/>
      <c r="F414" s="4"/>
      <c r="G414" s="5"/>
      <c r="H414" s="5"/>
      <c r="I414" s="5"/>
      <c r="J414" s="5"/>
    </row>
    <row r="415">
      <c r="A415" s="13"/>
      <c r="B415" s="5"/>
      <c r="C415" s="5"/>
      <c r="D415" s="5"/>
      <c r="E415" s="5"/>
      <c r="F415" s="4"/>
      <c r="G415" s="5"/>
      <c r="H415" s="5"/>
      <c r="I415" s="5"/>
      <c r="J415" s="5"/>
    </row>
    <row r="416">
      <c r="A416" s="13"/>
      <c r="B416" s="5"/>
      <c r="C416" s="5"/>
      <c r="D416" s="5"/>
      <c r="E416" s="5"/>
      <c r="F416" s="4"/>
      <c r="G416" s="5"/>
      <c r="H416" s="5"/>
      <c r="I416" s="5"/>
      <c r="J416" s="5"/>
    </row>
    <row r="417">
      <c r="A417" s="13"/>
      <c r="B417" s="5"/>
      <c r="C417" s="5"/>
      <c r="D417" s="5"/>
      <c r="E417" s="5"/>
      <c r="F417" s="4"/>
      <c r="G417" s="5"/>
      <c r="H417" s="5"/>
      <c r="I417" s="5"/>
      <c r="J417" s="5"/>
    </row>
    <row r="418">
      <c r="A418" s="13"/>
      <c r="B418" s="5"/>
      <c r="C418" s="5"/>
      <c r="D418" s="5"/>
      <c r="E418" s="5"/>
      <c r="F418" s="4"/>
      <c r="G418" s="5"/>
      <c r="H418" s="5"/>
      <c r="I418" s="5"/>
      <c r="J418" s="5"/>
    </row>
    <row r="419">
      <c r="A419" s="13"/>
      <c r="B419" s="5"/>
      <c r="C419" s="5"/>
      <c r="D419" s="5"/>
      <c r="E419" s="5"/>
      <c r="F419" s="4"/>
      <c r="G419" s="5"/>
      <c r="H419" s="5"/>
      <c r="I419" s="5"/>
      <c r="J419" s="5"/>
    </row>
    <row r="420">
      <c r="A420" s="13"/>
      <c r="B420" s="5"/>
      <c r="C420" s="5"/>
      <c r="D420" s="5"/>
      <c r="E420" s="5"/>
      <c r="F420" s="4"/>
      <c r="G420" s="5"/>
      <c r="H420" s="5"/>
      <c r="I420" s="5"/>
      <c r="J420" s="5"/>
    </row>
    <row r="421">
      <c r="A421" s="13"/>
      <c r="B421" s="5"/>
      <c r="C421" s="5"/>
      <c r="D421" s="5"/>
      <c r="E421" s="5"/>
      <c r="F421" s="4"/>
      <c r="G421" s="5"/>
      <c r="H421" s="5"/>
      <c r="I421" s="5"/>
      <c r="J421" s="5"/>
    </row>
    <row r="422">
      <c r="A422" s="13"/>
      <c r="B422" s="5"/>
      <c r="C422" s="5"/>
      <c r="D422" s="5"/>
      <c r="E422" s="5"/>
      <c r="F422" s="4"/>
      <c r="G422" s="5"/>
      <c r="H422" s="5"/>
      <c r="I422" s="5"/>
      <c r="J422" s="5"/>
    </row>
    <row r="423">
      <c r="A423" s="13"/>
      <c r="B423" s="5"/>
      <c r="C423" s="5"/>
      <c r="D423" s="5"/>
      <c r="E423" s="5"/>
      <c r="F423" s="4"/>
      <c r="G423" s="5"/>
      <c r="H423" s="5"/>
      <c r="I423" s="5"/>
      <c r="J423" s="5"/>
    </row>
    <row r="424">
      <c r="A424" s="13"/>
      <c r="B424" s="5"/>
      <c r="C424" s="5"/>
      <c r="D424" s="5"/>
      <c r="E424" s="5"/>
      <c r="F424" s="4"/>
      <c r="G424" s="5"/>
      <c r="H424" s="5"/>
      <c r="I424" s="5"/>
      <c r="J424" s="5"/>
    </row>
    <row r="425">
      <c r="A425" s="13"/>
      <c r="B425" s="5"/>
      <c r="C425" s="5"/>
      <c r="D425" s="5"/>
      <c r="E425" s="5"/>
      <c r="F425" s="4"/>
      <c r="G425" s="5"/>
      <c r="H425" s="5"/>
      <c r="I425" s="5"/>
      <c r="J425" s="5"/>
    </row>
    <row r="426">
      <c r="A426" s="13"/>
      <c r="B426" s="5"/>
      <c r="C426" s="5"/>
      <c r="D426" s="5"/>
      <c r="E426" s="5"/>
      <c r="F426" s="4"/>
      <c r="G426" s="5"/>
      <c r="H426" s="5"/>
      <c r="I426" s="5"/>
      <c r="J426" s="5"/>
    </row>
    <row r="427">
      <c r="A427" s="13"/>
      <c r="B427" s="5"/>
      <c r="C427" s="5"/>
      <c r="D427" s="5"/>
      <c r="E427" s="5"/>
      <c r="F427" s="4"/>
      <c r="G427" s="5"/>
      <c r="H427" s="5"/>
      <c r="I427" s="5"/>
      <c r="J427" s="5"/>
    </row>
    <row r="428">
      <c r="A428" s="13"/>
      <c r="B428" s="5"/>
      <c r="C428" s="5"/>
      <c r="D428" s="5"/>
      <c r="E428" s="5"/>
      <c r="F428" s="4"/>
      <c r="G428" s="5"/>
      <c r="H428" s="5"/>
      <c r="I428" s="5"/>
      <c r="J428" s="5"/>
    </row>
    <row r="429">
      <c r="A429" s="13"/>
      <c r="B429" s="5"/>
      <c r="C429" s="5"/>
      <c r="D429" s="5"/>
      <c r="E429" s="5"/>
      <c r="F429" s="4"/>
      <c r="G429" s="5"/>
      <c r="H429" s="5"/>
      <c r="I429" s="5"/>
      <c r="J429" s="5"/>
    </row>
    <row r="430">
      <c r="A430" s="13"/>
      <c r="B430" s="5"/>
      <c r="C430" s="5"/>
      <c r="D430" s="5"/>
      <c r="E430" s="5"/>
      <c r="F430" s="4"/>
      <c r="G430" s="5"/>
      <c r="H430" s="5"/>
      <c r="I430" s="5"/>
      <c r="J430" s="5"/>
    </row>
    <row r="431">
      <c r="A431" s="13"/>
      <c r="B431" s="5"/>
      <c r="C431" s="5"/>
      <c r="D431" s="5"/>
      <c r="E431" s="5"/>
      <c r="F431" s="4"/>
      <c r="G431" s="5"/>
      <c r="H431" s="5"/>
      <c r="I431" s="5"/>
      <c r="J431" s="5"/>
    </row>
    <row r="432">
      <c r="A432" s="13"/>
      <c r="B432" s="5"/>
      <c r="C432" s="5"/>
      <c r="D432" s="5"/>
      <c r="E432" s="5"/>
      <c r="F432" s="4"/>
      <c r="G432" s="5"/>
      <c r="H432" s="5"/>
      <c r="I432" s="5"/>
      <c r="J432" s="5"/>
    </row>
    <row r="433">
      <c r="A433" s="13"/>
      <c r="B433" s="5"/>
      <c r="C433" s="5"/>
      <c r="D433" s="5"/>
      <c r="E433" s="5"/>
      <c r="F433" s="4"/>
      <c r="G433" s="5"/>
      <c r="H433" s="5"/>
      <c r="I433" s="5"/>
      <c r="J433" s="5"/>
    </row>
    <row r="434">
      <c r="A434" s="13"/>
      <c r="B434" s="5"/>
      <c r="C434" s="5"/>
      <c r="D434" s="5"/>
      <c r="E434" s="5"/>
      <c r="F434" s="4"/>
      <c r="G434" s="5"/>
      <c r="H434" s="5"/>
      <c r="I434" s="5"/>
      <c r="J434" s="5"/>
    </row>
    <row r="435">
      <c r="A435" s="13"/>
      <c r="B435" s="5"/>
      <c r="C435" s="5"/>
      <c r="D435" s="5"/>
      <c r="E435" s="5"/>
      <c r="F435" s="4"/>
      <c r="G435" s="5"/>
      <c r="H435" s="5"/>
      <c r="I435" s="5"/>
      <c r="J435" s="5"/>
    </row>
    <row r="436">
      <c r="A436" s="13"/>
      <c r="B436" s="5"/>
      <c r="C436" s="5"/>
      <c r="D436" s="5"/>
      <c r="E436" s="5"/>
      <c r="F436" s="4"/>
      <c r="G436" s="5"/>
      <c r="H436" s="5"/>
      <c r="I436" s="5"/>
      <c r="J436" s="5"/>
    </row>
    <row r="437">
      <c r="A437" s="13"/>
      <c r="B437" s="5"/>
      <c r="C437" s="5"/>
      <c r="D437" s="5"/>
      <c r="E437" s="5"/>
      <c r="F437" s="4"/>
      <c r="G437" s="5"/>
      <c r="H437" s="5"/>
      <c r="I437" s="5"/>
      <c r="J437" s="5"/>
    </row>
    <row r="438">
      <c r="A438" s="13"/>
      <c r="B438" s="5"/>
      <c r="C438" s="5"/>
      <c r="D438" s="5"/>
      <c r="E438" s="5"/>
      <c r="F438" s="4"/>
      <c r="G438" s="5"/>
      <c r="H438" s="5"/>
      <c r="I438" s="5"/>
      <c r="J438" s="5"/>
    </row>
    <row r="439">
      <c r="A439" s="13"/>
      <c r="B439" s="5"/>
      <c r="C439" s="5"/>
      <c r="D439" s="5"/>
      <c r="E439" s="5"/>
      <c r="F439" s="4"/>
      <c r="G439" s="5"/>
      <c r="H439" s="5"/>
      <c r="I439" s="5"/>
      <c r="J439" s="5"/>
    </row>
    <row r="440">
      <c r="A440" s="13"/>
      <c r="B440" s="5"/>
      <c r="C440" s="5"/>
      <c r="D440" s="5"/>
      <c r="E440" s="5"/>
      <c r="F440" s="4"/>
      <c r="G440" s="5"/>
      <c r="H440" s="5"/>
      <c r="I440" s="5"/>
      <c r="J440" s="5"/>
    </row>
    <row r="441">
      <c r="A441" s="13"/>
      <c r="B441" s="5"/>
      <c r="C441" s="5"/>
      <c r="D441" s="5"/>
      <c r="E441" s="5"/>
      <c r="F441" s="4"/>
      <c r="G441" s="5"/>
      <c r="H441" s="5"/>
      <c r="I441" s="5"/>
      <c r="J441" s="5"/>
    </row>
    <row r="442">
      <c r="A442" s="13"/>
      <c r="B442" s="5"/>
      <c r="C442" s="5"/>
      <c r="D442" s="5"/>
      <c r="E442" s="5"/>
      <c r="F442" s="4"/>
      <c r="G442" s="5"/>
      <c r="H442" s="5"/>
      <c r="I442" s="5"/>
      <c r="J442" s="5"/>
    </row>
    <row r="443">
      <c r="A443" s="13"/>
      <c r="B443" s="5"/>
      <c r="C443" s="5"/>
      <c r="D443" s="5"/>
      <c r="E443" s="5"/>
      <c r="F443" s="4"/>
      <c r="G443" s="5"/>
      <c r="H443" s="5"/>
      <c r="I443" s="5"/>
      <c r="J443" s="5"/>
    </row>
    <row r="444">
      <c r="A444" s="13"/>
      <c r="B444" s="5"/>
      <c r="C444" s="5"/>
      <c r="D444" s="5"/>
      <c r="E444" s="5"/>
      <c r="F444" s="4"/>
      <c r="G444" s="5"/>
      <c r="H444" s="5"/>
      <c r="I444" s="5"/>
      <c r="J444" s="5"/>
    </row>
    <row r="445">
      <c r="A445" s="13"/>
      <c r="B445" s="5"/>
      <c r="C445" s="5"/>
      <c r="D445" s="5"/>
      <c r="E445" s="5"/>
      <c r="F445" s="4"/>
      <c r="G445" s="5"/>
      <c r="H445" s="5"/>
      <c r="I445" s="5"/>
      <c r="J445" s="5"/>
    </row>
    <row r="446">
      <c r="A446" s="13"/>
      <c r="B446" s="5"/>
      <c r="C446" s="5"/>
      <c r="D446" s="5"/>
      <c r="E446" s="5"/>
      <c r="F446" s="4"/>
      <c r="G446" s="5"/>
      <c r="H446" s="5"/>
      <c r="I446" s="5"/>
      <c r="J446" s="5"/>
    </row>
    <row r="447">
      <c r="A447" s="13"/>
      <c r="B447" s="5"/>
      <c r="C447" s="5"/>
      <c r="D447" s="5"/>
      <c r="E447" s="5"/>
      <c r="F447" s="4"/>
      <c r="G447" s="5"/>
      <c r="H447" s="5"/>
      <c r="I447" s="5"/>
      <c r="J447" s="5"/>
    </row>
    <row r="448">
      <c r="A448" s="13"/>
      <c r="B448" s="5"/>
      <c r="C448" s="5"/>
      <c r="D448" s="5"/>
      <c r="E448" s="5"/>
      <c r="F448" s="4"/>
      <c r="G448" s="5"/>
      <c r="H448" s="5"/>
      <c r="I448" s="5"/>
      <c r="J448" s="5"/>
    </row>
    <row r="449">
      <c r="A449" s="13"/>
      <c r="B449" s="5"/>
      <c r="C449" s="5"/>
      <c r="D449" s="5"/>
      <c r="E449" s="5"/>
      <c r="F449" s="4"/>
      <c r="G449" s="5"/>
      <c r="H449" s="5"/>
      <c r="I449" s="5"/>
      <c r="J449" s="5"/>
    </row>
    <row r="450">
      <c r="A450" s="13"/>
      <c r="B450" s="5"/>
      <c r="C450" s="5"/>
      <c r="D450" s="5"/>
      <c r="E450" s="5"/>
      <c r="F450" s="4"/>
      <c r="G450" s="5"/>
      <c r="H450" s="5"/>
      <c r="I450" s="5"/>
      <c r="J450" s="5"/>
    </row>
    <row r="451">
      <c r="A451" s="13"/>
      <c r="B451" s="5"/>
      <c r="C451" s="5"/>
      <c r="D451" s="5"/>
      <c r="E451" s="5"/>
      <c r="F451" s="4"/>
      <c r="G451" s="5"/>
      <c r="H451" s="5"/>
      <c r="I451" s="5"/>
      <c r="J451" s="5"/>
    </row>
    <row r="452">
      <c r="A452" s="13"/>
      <c r="B452" s="5"/>
      <c r="C452" s="5"/>
      <c r="D452" s="5"/>
      <c r="E452" s="5"/>
      <c r="F452" s="4"/>
      <c r="G452" s="5"/>
      <c r="H452" s="5"/>
      <c r="I452" s="5"/>
      <c r="J452" s="5"/>
    </row>
    <row r="453">
      <c r="A453" s="13"/>
      <c r="B453" s="5"/>
      <c r="C453" s="5"/>
      <c r="D453" s="5"/>
      <c r="E453" s="5"/>
      <c r="F453" s="4"/>
      <c r="G453" s="5"/>
      <c r="H453" s="5"/>
      <c r="I453" s="5"/>
      <c r="J453" s="5"/>
    </row>
    <row r="454">
      <c r="A454" s="13"/>
      <c r="B454" s="5"/>
      <c r="C454" s="5"/>
      <c r="D454" s="5"/>
      <c r="E454" s="5"/>
      <c r="F454" s="4"/>
      <c r="G454" s="5"/>
      <c r="H454" s="5"/>
      <c r="I454" s="5"/>
      <c r="J454" s="5"/>
    </row>
    <row r="455">
      <c r="A455" s="13"/>
      <c r="B455" s="5"/>
      <c r="C455" s="5"/>
      <c r="D455" s="5"/>
      <c r="E455" s="5"/>
      <c r="F455" s="4"/>
      <c r="G455" s="5"/>
      <c r="H455" s="5"/>
      <c r="I455" s="5"/>
      <c r="J455" s="5"/>
    </row>
    <row r="456">
      <c r="A456" s="13"/>
      <c r="B456" s="5"/>
      <c r="C456" s="5"/>
      <c r="D456" s="5"/>
      <c r="E456" s="5"/>
      <c r="F456" s="4"/>
      <c r="G456" s="5"/>
      <c r="H456" s="5"/>
      <c r="I456" s="5"/>
      <c r="J456" s="5"/>
    </row>
    <row r="457">
      <c r="A457" s="13"/>
      <c r="B457" s="5"/>
      <c r="C457" s="5"/>
      <c r="D457" s="5"/>
      <c r="E457" s="5"/>
      <c r="F457" s="4"/>
      <c r="G457" s="5"/>
      <c r="H457" s="5"/>
      <c r="I457" s="5"/>
      <c r="J457" s="5"/>
    </row>
    <row r="458">
      <c r="A458" s="13"/>
      <c r="B458" s="5"/>
      <c r="C458" s="5"/>
      <c r="D458" s="5"/>
      <c r="E458" s="5"/>
      <c r="F458" s="4"/>
      <c r="G458" s="5"/>
      <c r="H458" s="5"/>
      <c r="I458" s="5"/>
      <c r="J458" s="5"/>
    </row>
    <row r="459">
      <c r="A459" s="13"/>
      <c r="B459" s="5"/>
      <c r="C459" s="5"/>
      <c r="D459" s="5"/>
      <c r="E459" s="5"/>
      <c r="F459" s="4"/>
      <c r="G459" s="5"/>
      <c r="H459" s="5"/>
      <c r="I459" s="5"/>
      <c r="J459" s="5"/>
    </row>
    <row r="460">
      <c r="A460" s="13"/>
      <c r="B460" s="5"/>
      <c r="C460" s="5"/>
      <c r="D460" s="5"/>
      <c r="E460" s="5"/>
      <c r="F460" s="4"/>
      <c r="G460" s="5"/>
      <c r="H460" s="5"/>
      <c r="I460" s="5"/>
      <c r="J460" s="5"/>
    </row>
    <row r="461">
      <c r="A461" s="13"/>
      <c r="B461" s="5"/>
      <c r="C461" s="5"/>
      <c r="D461" s="5"/>
      <c r="E461" s="5"/>
      <c r="F461" s="4"/>
      <c r="G461" s="5"/>
      <c r="H461" s="5"/>
      <c r="I461" s="5"/>
      <c r="J461" s="5"/>
    </row>
    <row r="462">
      <c r="A462" s="13"/>
      <c r="B462" s="5"/>
      <c r="C462" s="5"/>
      <c r="D462" s="5"/>
      <c r="E462" s="5"/>
      <c r="F462" s="4"/>
      <c r="G462" s="5"/>
      <c r="H462" s="5"/>
      <c r="I462" s="5"/>
      <c r="J462" s="5"/>
    </row>
    <row r="463">
      <c r="A463" s="13"/>
      <c r="B463" s="5"/>
      <c r="C463" s="5"/>
      <c r="D463" s="5"/>
      <c r="E463" s="5"/>
      <c r="F463" s="4"/>
      <c r="G463" s="5"/>
      <c r="H463" s="5"/>
      <c r="I463" s="5"/>
      <c r="J463" s="5"/>
    </row>
    <row r="464">
      <c r="A464" s="13"/>
      <c r="B464" s="5"/>
      <c r="C464" s="5"/>
      <c r="D464" s="5"/>
      <c r="E464" s="5"/>
      <c r="F464" s="4"/>
      <c r="G464" s="5"/>
      <c r="H464" s="5"/>
      <c r="I464" s="5"/>
      <c r="J464" s="5"/>
    </row>
    <row r="465">
      <c r="A465" s="13"/>
      <c r="B465" s="5"/>
      <c r="C465" s="5"/>
      <c r="D465" s="5"/>
      <c r="E465" s="5"/>
      <c r="F465" s="4"/>
      <c r="G465" s="5"/>
      <c r="H465" s="5"/>
      <c r="I465" s="5"/>
      <c r="J465" s="5"/>
    </row>
    <row r="466">
      <c r="A466" s="13"/>
      <c r="B466" s="5"/>
      <c r="C466" s="5"/>
      <c r="D466" s="5"/>
      <c r="E466" s="5"/>
      <c r="F466" s="4"/>
      <c r="G466" s="5"/>
      <c r="H466" s="5"/>
      <c r="I466" s="5"/>
      <c r="J466" s="5"/>
    </row>
    <row r="467">
      <c r="A467" s="13"/>
      <c r="B467" s="5"/>
      <c r="C467" s="5"/>
      <c r="D467" s="5"/>
      <c r="E467" s="5"/>
      <c r="F467" s="4"/>
      <c r="G467" s="5"/>
      <c r="H467" s="5"/>
      <c r="I467" s="5"/>
      <c r="J467" s="5"/>
    </row>
    <row r="468">
      <c r="A468" s="13"/>
      <c r="B468" s="5"/>
      <c r="C468" s="5"/>
      <c r="D468" s="5"/>
      <c r="E468" s="5"/>
      <c r="F468" s="4"/>
      <c r="G468" s="5"/>
      <c r="H468" s="5"/>
      <c r="I468" s="5"/>
      <c r="J468" s="5"/>
    </row>
    <row r="469">
      <c r="A469" s="13"/>
      <c r="B469" s="5"/>
      <c r="C469" s="5"/>
      <c r="D469" s="5"/>
      <c r="E469" s="5"/>
      <c r="F469" s="4"/>
      <c r="G469" s="5"/>
      <c r="H469" s="5"/>
      <c r="I469" s="5"/>
      <c r="J469" s="5"/>
    </row>
    <row r="470">
      <c r="A470" s="13"/>
      <c r="B470" s="5"/>
      <c r="C470" s="5"/>
      <c r="D470" s="5"/>
      <c r="E470" s="5"/>
      <c r="F470" s="4"/>
      <c r="G470" s="5"/>
      <c r="H470" s="5"/>
      <c r="I470" s="5"/>
      <c r="J470" s="5"/>
    </row>
    <row r="471">
      <c r="A471" s="13"/>
      <c r="B471" s="5"/>
      <c r="C471" s="5"/>
      <c r="D471" s="5"/>
      <c r="E471" s="5"/>
      <c r="F471" s="4"/>
      <c r="G471" s="5"/>
      <c r="H471" s="5"/>
      <c r="I471" s="5"/>
      <c r="J471" s="5"/>
    </row>
    <row r="472">
      <c r="A472" s="13"/>
      <c r="B472" s="5"/>
      <c r="C472" s="5"/>
      <c r="D472" s="5"/>
      <c r="E472" s="5"/>
      <c r="F472" s="4"/>
      <c r="G472" s="5"/>
      <c r="H472" s="5"/>
      <c r="I472" s="5"/>
      <c r="J472" s="5"/>
    </row>
    <row r="473">
      <c r="A473" s="13"/>
      <c r="B473" s="5"/>
      <c r="C473" s="5"/>
      <c r="D473" s="5"/>
      <c r="E473" s="5"/>
      <c r="F473" s="4"/>
      <c r="G473" s="5"/>
      <c r="H473" s="5"/>
      <c r="I473" s="5"/>
      <c r="J473" s="5"/>
    </row>
    <row r="474">
      <c r="A474" s="13"/>
      <c r="B474" s="5"/>
      <c r="C474" s="5"/>
      <c r="D474" s="5"/>
      <c r="E474" s="5"/>
      <c r="F474" s="4"/>
      <c r="G474" s="5"/>
      <c r="H474" s="5"/>
      <c r="I474" s="5"/>
      <c r="J474" s="5"/>
    </row>
    <row r="475">
      <c r="A475" s="13"/>
      <c r="B475" s="5"/>
      <c r="C475" s="5"/>
      <c r="D475" s="5"/>
      <c r="E475" s="5"/>
      <c r="F475" s="4"/>
      <c r="G475" s="5"/>
      <c r="H475" s="5"/>
      <c r="I475" s="5"/>
      <c r="J475" s="5"/>
    </row>
    <row r="476">
      <c r="A476" s="13"/>
      <c r="B476" s="5"/>
      <c r="C476" s="5"/>
      <c r="D476" s="5"/>
      <c r="E476" s="5"/>
      <c r="F476" s="4"/>
      <c r="G476" s="5"/>
      <c r="H476" s="5"/>
      <c r="I476" s="5"/>
      <c r="J476" s="5"/>
    </row>
    <row r="477">
      <c r="A477" s="13"/>
      <c r="B477" s="5"/>
      <c r="C477" s="5"/>
      <c r="D477" s="5"/>
      <c r="E477" s="5"/>
      <c r="F477" s="4"/>
      <c r="G477" s="5"/>
      <c r="H477" s="5"/>
      <c r="I477" s="5"/>
      <c r="J477" s="5"/>
    </row>
    <row r="478">
      <c r="A478" s="13"/>
      <c r="B478" s="5"/>
      <c r="C478" s="5"/>
      <c r="D478" s="5"/>
      <c r="E478" s="5"/>
      <c r="F478" s="4"/>
      <c r="G478" s="5"/>
      <c r="H478" s="5"/>
      <c r="I478" s="5"/>
      <c r="J478" s="5"/>
    </row>
    <row r="479">
      <c r="A479" s="13"/>
      <c r="B479" s="5"/>
      <c r="C479" s="5"/>
      <c r="D479" s="5"/>
      <c r="E479" s="5"/>
      <c r="F479" s="4"/>
      <c r="G479" s="5"/>
      <c r="H479" s="5"/>
      <c r="I479" s="5"/>
      <c r="J479" s="5"/>
    </row>
    <row r="480">
      <c r="A480" s="13"/>
      <c r="B480" s="5"/>
      <c r="C480" s="5"/>
      <c r="D480" s="5"/>
      <c r="E480" s="5"/>
      <c r="F480" s="4"/>
      <c r="G480" s="5"/>
      <c r="H480" s="5"/>
      <c r="I480" s="5"/>
      <c r="J480" s="5"/>
    </row>
    <row r="481">
      <c r="A481" s="13"/>
      <c r="B481" s="5"/>
      <c r="C481" s="5"/>
      <c r="D481" s="5"/>
      <c r="E481" s="5"/>
      <c r="F481" s="4"/>
      <c r="G481" s="5"/>
      <c r="H481" s="5"/>
      <c r="I481" s="5"/>
      <c r="J481" s="5"/>
    </row>
    <row r="482">
      <c r="A482" s="13"/>
      <c r="B482" s="5"/>
      <c r="C482" s="5"/>
      <c r="D482" s="5"/>
      <c r="E482" s="5"/>
      <c r="F482" s="4"/>
      <c r="G482" s="5"/>
      <c r="H482" s="5"/>
      <c r="I482" s="5"/>
      <c r="J482" s="5"/>
    </row>
    <row r="483">
      <c r="A483" s="13"/>
      <c r="B483" s="5"/>
      <c r="C483" s="5"/>
      <c r="D483" s="5"/>
      <c r="E483" s="5"/>
      <c r="F483" s="4"/>
      <c r="G483" s="5"/>
      <c r="H483" s="5"/>
      <c r="I483" s="5"/>
      <c r="J483" s="5"/>
    </row>
    <row r="484">
      <c r="A484" s="13"/>
      <c r="B484" s="5"/>
      <c r="C484" s="5"/>
      <c r="D484" s="5"/>
      <c r="E484" s="5"/>
      <c r="F484" s="4"/>
      <c r="G484" s="5"/>
      <c r="H484" s="5"/>
      <c r="I484" s="5"/>
      <c r="J484" s="5"/>
    </row>
    <row r="485">
      <c r="A485" s="13"/>
      <c r="B485" s="5"/>
      <c r="C485" s="5"/>
      <c r="D485" s="5"/>
      <c r="E485" s="5"/>
      <c r="F485" s="4"/>
      <c r="G485" s="5"/>
      <c r="H485" s="5"/>
      <c r="I485" s="5"/>
      <c r="J485" s="5"/>
    </row>
    <row r="486">
      <c r="A486" s="13"/>
      <c r="B486" s="5"/>
      <c r="C486" s="5"/>
      <c r="D486" s="5"/>
      <c r="E486" s="5"/>
      <c r="F486" s="4"/>
      <c r="G486" s="5"/>
      <c r="H486" s="5"/>
      <c r="I486" s="5"/>
      <c r="J486" s="5"/>
    </row>
    <row r="487">
      <c r="A487" s="13"/>
      <c r="B487" s="5"/>
      <c r="C487" s="5"/>
      <c r="D487" s="5"/>
      <c r="E487" s="5"/>
      <c r="F487" s="4"/>
      <c r="G487" s="5"/>
      <c r="H487" s="5"/>
      <c r="I487" s="5"/>
      <c r="J487" s="5"/>
    </row>
    <row r="488">
      <c r="A488" s="13"/>
      <c r="B488" s="5"/>
      <c r="C488" s="5"/>
      <c r="D488" s="5"/>
      <c r="E488" s="5"/>
      <c r="F488" s="4"/>
      <c r="G488" s="5"/>
      <c r="H488" s="5"/>
      <c r="I488" s="5"/>
      <c r="J488" s="5"/>
    </row>
    <row r="489">
      <c r="A489" s="13"/>
      <c r="B489" s="5"/>
      <c r="C489" s="5"/>
      <c r="D489" s="5"/>
      <c r="E489" s="5"/>
      <c r="F489" s="4"/>
      <c r="G489" s="5"/>
      <c r="H489" s="5"/>
      <c r="I489" s="5"/>
      <c r="J489" s="5"/>
    </row>
    <row r="490">
      <c r="A490" s="13"/>
      <c r="B490" s="5"/>
      <c r="C490" s="5"/>
      <c r="D490" s="5"/>
      <c r="E490" s="5"/>
      <c r="F490" s="4"/>
      <c r="G490" s="5"/>
      <c r="H490" s="5"/>
      <c r="I490" s="5"/>
      <c r="J490" s="5"/>
    </row>
    <row r="491">
      <c r="A491" s="13"/>
      <c r="B491" s="5"/>
      <c r="C491" s="5"/>
      <c r="D491" s="5"/>
      <c r="E491" s="5"/>
      <c r="F491" s="4"/>
      <c r="G491" s="5"/>
      <c r="H491" s="5"/>
      <c r="I491" s="5"/>
      <c r="J491" s="5"/>
    </row>
    <row r="492">
      <c r="A492" s="13"/>
      <c r="B492" s="5"/>
      <c r="C492" s="5"/>
      <c r="D492" s="5"/>
      <c r="E492" s="5"/>
      <c r="F492" s="4"/>
      <c r="G492" s="5"/>
      <c r="H492" s="5"/>
      <c r="I492" s="5"/>
      <c r="J492" s="5"/>
    </row>
    <row r="493">
      <c r="A493" s="13"/>
      <c r="B493" s="5"/>
      <c r="C493" s="5"/>
      <c r="D493" s="5"/>
      <c r="E493" s="5"/>
      <c r="F493" s="4"/>
      <c r="G493" s="5"/>
      <c r="H493" s="5"/>
      <c r="I493" s="5"/>
      <c r="J493" s="5"/>
    </row>
    <row r="494">
      <c r="A494" s="13"/>
      <c r="B494" s="5"/>
      <c r="C494" s="5"/>
      <c r="D494" s="5"/>
      <c r="E494" s="5"/>
      <c r="F494" s="4"/>
      <c r="G494" s="5"/>
      <c r="H494" s="5"/>
      <c r="I494" s="5"/>
      <c r="J494" s="5"/>
    </row>
    <row r="495">
      <c r="A495" s="13"/>
      <c r="B495" s="5"/>
      <c r="C495" s="5"/>
      <c r="D495" s="5"/>
      <c r="E495" s="5"/>
      <c r="F495" s="4"/>
      <c r="G495" s="5"/>
      <c r="H495" s="5"/>
      <c r="I495" s="5"/>
      <c r="J495" s="5"/>
    </row>
    <row r="496">
      <c r="A496" s="13"/>
      <c r="B496" s="5"/>
      <c r="C496" s="5"/>
      <c r="D496" s="5"/>
      <c r="E496" s="5"/>
      <c r="F496" s="4"/>
      <c r="G496" s="5"/>
      <c r="H496" s="5"/>
      <c r="I496" s="5"/>
      <c r="J496" s="5"/>
    </row>
    <row r="497">
      <c r="A497" s="13"/>
      <c r="B497" s="5"/>
      <c r="C497" s="5"/>
      <c r="D497" s="5"/>
      <c r="E497" s="5"/>
      <c r="F497" s="4"/>
      <c r="G497" s="5"/>
      <c r="H497" s="5"/>
      <c r="I497" s="5"/>
      <c r="J497" s="5"/>
    </row>
    <row r="498">
      <c r="A498" s="13"/>
      <c r="B498" s="5"/>
      <c r="C498" s="5"/>
      <c r="D498" s="5"/>
      <c r="E498" s="5"/>
      <c r="F498" s="4"/>
      <c r="G498" s="5"/>
      <c r="H498" s="5"/>
      <c r="I498" s="5"/>
      <c r="J498" s="5"/>
    </row>
    <row r="499">
      <c r="A499" s="13"/>
      <c r="B499" s="5"/>
      <c r="C499" s="5"/>
      <c r="D499" s="5"/>
      <c r="E499" s="5"/>
      <c r="F499" s="4"/>
      <c r="G499" s="5"/>
      <c r="H499" s="5"/>
      <c r="I499" s="5"/>
      <c r="J499" s="5"/>
    </row>
    <row r="500">
      <c r="A500" s="13"/>
      <c r="B500" s="5"/>
      <c r="C500" s="5"/>
      <c r="D500" s="5"/>
      <c r="E500" s="5"/>
      <c r="F500" s="4"/>
      <c r="G500" s="5"/>
      <c r="H500" s="5"/>
      <c r="I500" s="5"/>
      <c r="J500" s="5"/>
    </row>
    <row r="501">
      <c r="A501" s="13"/>
      <c r="B501" s="5"/>
      <c r="C501" s="5"/>
      <c r="D501" s="5"/>
      <c r="E501" s="5"/>
      <c r="F501" s="4"/>
      <c r="G501" s="5"/>
      <c r="H501" s="5"/>
      <c r="I501" s="5"/>
      <c r="J501" s="5"/>
    </row>
    <row r="502">
      <c r="A502" s="13"/>
      <c r="B502" s="5"/>
      <c r="C502" s="5"/>
      <c r="D502" s="5"/>
      <c r="E502" s="5"/>
      <c r="F502" s="4"/>
      <c r="G502" s="5"/>
      <c r="H502" s="5"/>
      <c r="I502" s="5"/>
      <c r="J502" s="5"/>
    </row>
    <row r="503">
      <c r="A503" s="13"/>
      <c r="B503" s="5"/>
      <c r="C503" s="5"/>
      <c r="D503" s="5"/>
      <c r="E503" s="5"/>
      <c r="F503" s="4"/>
      <c r="G503" s="5"/>
      <c r="H503" s="5"/>
      <c r="I503" s="5"/>
      <c r="J503" s="5"/>
    </row>
    <row r="504">
      <c r="A504" s="13"/>
      <c r="B504" s="5"/>
      <c r="C504" s="5"/>
      <c r="D504" s="5"/>
      <c r="E504" s="5"/>
      <c r="F504" s="4"/>
      <c r="G504" s="5"/>
      <c r="H504" s="5"/>
      <c r="I504" s="5"/>
      <c r="J504" s="5"/>
    </row>
    <row r="505">
      <c r="A505" s="13"/>
      <c r="B505" s="5"/>
      <c r="C505" s="5"/>
      <c r="D505" s="5"/>
      <c r="E505" s="5"/>
      <c r="F505" s="4"/>
      <c r="G505" s="5"/>
      <c r="H505" s="5"/>
      <c r="I505" s="5"/>
      <c r="J505" s="5"/>
    </row>
    <row r="506">
      <c r="A506" s="13"/>
      <c r="B506" s="5"/>
      <c r="C506" s="5"/>
      <c r="D506" s="5"/>
      <c r="E506" s="5"/>
      <c r="F506" s="4"/>
      <c r="G506" s="5"/>
      <c r="H506" s="5"/>
      <c r="I506" s="5"/>
      <c r="J506" s="5"/>
    </row>
    <row r="507">
      <c r="A507" s="13"/>
      <c r="B507" s="5"/>
      <c r="C507" s="5"/>
      <c r="D507" s="5"/>
      <c r="E507" s="5"/>
      <c r="F507" s="4"/>
      <c r="G507" s="5"/>
      <c r="H507" s="5"/>
      <c r="I507" s="5"/>
      <c r="J507" s="5"/>
    </row>
    <row r="508">
      <c r="A508" s="13"/>
      <c r="B508" s="5"/>
      <c r="C508" s="5"/>
      <c r="D508" s="5"/>
      <c r="E508" s="5"/>
      <c r="F508" s="4"/>
      <c r="G508" s="5"/>
      <c r="H508" s="5"/>
      <c r="I508" s="5"/>
      <c r="J508" s="5"/>
    </row>
    <row r="509">
      <c r="A509" s="13"/>
      <c r="B509" s="5"/>
      <c r="C509" s="5"/>
      <c r="D509" s="5"/>
      <c r="E509" s="5"/>
      <c r="F509" s="4"/>
      <c r="G509" s="5"/>
      <c r="H509" s="5"/>
      <c r="I509" s="5"/>
      <c r="J509" s="5"/>
    </row>
    <row r="510">
      <c r="A510" s="13"/>
      <c r="B510" s="5"/>
      <c r="C510" s="5"/>
      <c r="D510" s="5"/>
      <c r="E510" s="5"/>
      <c r="F510" s="4"/>
      <c r="G510" s="5"/>
      <c r="H510" s="5"/>
      <c r="I510" s="5"/>
      <c r="J510" s="5"/>
    </row>
    <row r="511">
      <c r="A511" s="13"/>
      <c r="B511" s="5"/>
      <c r="C511" s="5"/>
      <c r="D511" s="5"/>
      <c r="E511" s="5"/>
      <c r="F511" s="4"/>
      <c r="G511" s="5"/>
      <c r="H511" s="5"/>
      <c r="I511" s="5"/>
      <c r="J511" s="5"/>
    </row>
    <row r="512">
      <c r="A512" s="13"/>
      <c r="B512" s="5"/>
      <c r="C512" s="5"/>
      <c r="D512" s="5"/>
      <c r="E512" s="5"/>
      <c r="F512" s="4"/>
      <c r="G512" s="5"/>
      <c r="H512" s="5"/>
      <c r="I512" s="5"/>
      <c r="J512" s="5"/>
    </row>
    <row r="513">
      <c r="A513" s="13"/>
      <c r="B513" s="5"/>
      <c r="C513" s="5"/>
      <c r="D513" s="5"/>
      <c r="E513" s="5"/>
      <c r="F513" s="4"/>
      <c r="G513" s="5"/>
      <c r="H513" s="5"/>
      <c r="I513" s="5"/>
      <c r="J513" s="5"/>
    </row>
    <row r="514">
      <c r="A514" s="13"/>
      <c r="B514" s="5"/>
      <c r="C514" s="5"/>
      <c r="D514" s="5"/>
      <c r="E514" s="5"/>
      <c r="F514" s="4"/>
      <c r="G514" s="5"/>
      <c r="H514" s="5"/>
      <c r="I514" s="5"/>
      <c r="J514" s="5"/>
    </row>
    <row r="515">
      <c r="A515" s="13"/>
      <c r="B515" s="5"/>
      <c r="C515" s="5"/>
      <c r="D515" s="5"/>
      <c r="E515" s="5"/>
      <c r="F515" s="4"/>
      <c r="G515" s="5"/>
      <c r="H515" s="5"/>
      <c r="I515" s="5"/>
      <c r="J515" s="5"/>
    </row>
    <row r="516">
      <c r="A516" s="13"/>
      <c r="B516" s="5"/>
      <c r="C516" s="5"/>
      <c r="D516" s="5"/>
      <c r="E516" s="5"/>
      <c r="F516" s="4"/>
      <c r="G516" s="5"/>
      <c r="H516" s="5"/>
      <c r="I516" s="5"/>
      <c r="J516" s="5"/>
    </row>
    <row r="517">
      <c r="A517" s="13"/>
      <c r="B517" s="5"/>
      <c r="C517" s="5"/>
      <c r="D517" s="5"/>
      <c r="E517" s="5"/>
      <c r="F517" s="4"/>
      <c r="G517" s="5"/>
      <c r="H517" s="5"/>
      <c r="I517" s="5"/>
      <c r="J517" s="5"/>
    </row>
    <row r="518">
      <c r="A518" s="13"/>
      <c r="B518" s="5"/>
      <c r="C518" s="5"/>
      <c r="D518" s="5"/>
      <c r="E518" s="5"/>
      <c r="F518" s="4"/>
      <c r="G518" s="5"/>
      <c r="H518" s="5"/>
      <c r="I518" s="5"/>
      <c r="J518" s="5"/>
    </row>
    <row r="519">
      <c r="A519" s="13"/>
      <c r="B519" s="5"/>
      <c r="C519" s="5"/>
      <c r="D519" s="5"/>
      <c r="E519" s="5"/>
      <c r="F519" s="4"/>
      <c r="G519" s="5"/>
      <c r="H519" s="5"/>
      <c r="I519" s="5"/>
      <c r="J519" s="5"/>
    </row>
    <row r="520">
      <c r="A520" s="13"/>
      <c r="B520" s="5"/>
      <c r="C520" s="5"/>
      <c r="D520" s="5"/>
      <c r="E520" s="5"/>
      <c r="F520" s="4"/>
      <c r="G520" s="5"/>
      <c r="H520" s="5"/>
      <c r="I520" s="5"/>
      <c r="J520" s="5"/>
    </row>
    <row r="521">
      <c r="A521" s="13"/>
      <c r="B521" s="5"/>
      <c r="C521" s="5"/>
      <c r="D521" s="5"/>
      <c r="E521" s="5"/>
      <c r="F521" s="4"/>
      <c r="G521" s="5"/>
      <c r="H521" s="5"/>
      <c r="I521" s="5"/>
      <c r="J521" s="5"/>
    </row>
    <row r="522">
      <c r="A522" s="13"/>
      <c r="B522" s="5"/>
      <c r="C522" s="5"/>
      <c r="D522" s="5"/>
      <c r="E522" s="5"/>
      <c r="F522" s="4"/>
      <c r="G522" s="5"/>
      <c r="H522" s="5"/>
      <c r="I522" s="5"/>
      <c r="J522" s="5"/>
    </row>
    <row r="523">
      <c r="A523" s="13"/>
      <c r="B523" s="5"/>
      <c r="C523" s="5"/>
      <c r="D523" s="5"/>
      <c r="E523" s="5"/>
      <c r="F523" s="4"/>
      <c r="G523" s="5"/>
      <c r="H523" s="5"/>
      <c r="I523" s="5"/>
      <c r="J523" s="5"/>
    </row>
    <row r="524">
      <c r="A524" s="13"/>
      <c r="B524" s="5"/>
      <c r="C524" s="5"/>
      <c r="D524" s="5"/>
      <c r="E524" s="5"/>
      <c r="F524" s="4"/>
      <c r="G524" s="5"/>
      <c r="H524" s="5"/>
      <c r="I524" s="5"/>
      <c r="J524" s="5"/>
    </row>
    <row r="525">
      <c r="A525" s="13"/>
      <c r="B525" s="5"/>
      <c r="C525" s="5"/>
      <c r="D525" s="5"/>
      <c r="E525" s="5"/>
      <c r="F525" s="4"/>
      <c r="G525" s="5"/>
      <c r="H525" s="5"/>
      <c r="I525" s="5"/>
      <c r="J525" s="5"/>
    </row>
    <row r="526">
      <c r="A526" s="13"/>
      <c r="B526" s="5"/>
      <c r="C526" s="5"/>
      <c r="D526" s="5"/>
      <c r="E526" s="5"/>
      <c r="F526" s="4"/>
      <c r="G526" s="5"/>
      <c r="H526" s="5"/>
      <c r="I526" s="5"/>
      <c r="J526" s="5"/>
    </row>
    <row r="527">
      <c r="A527" s="13"/>
      <c r="B527" s="5"/>
      <c r="C527" s="5"/>
      <c r="D527" s="5"/>
      <c r="E527" s="5"/>
      <c r="F527" s="4"/>
      <c r="G527" s="5"/>
      <c r="H527" s="5"/>
      <c r="I527" s="5"/>
      <c r="J527" s="5"/>
    </row>
    <row r="528">
      <c r="A528" s="13"/>
      <c r="B528" s="5"/>
      <c r="C528" s="5"/>
      <c r="D528" s="5"/>
      <c r="E528" s="5"/>
      <c r="F528" s="4"/>
      <c r="G528" s="5"/>
      <c r="H528" s="5"/>
      <c r="I528" s="5"/>
      <c r="J528" s="5"/>
    </row>
    <row r="529">
      <c r="A529" s="13"/>
      <c r="B529" s="5"/>
      <c r="C529" s="5"/>
      <c r="D529" s="5"/>
      <c r="E529" s="5"/>
      <c r="F529" s="4"/>
      <c r="G529" s="5"/>
      <c r="H529" s="5"/>
      <c r="I529" s="5"/>
      <c r="J529" s="5"/>
    </row>
    <row r="530">
      <c r="A530" s="13"/>
      <c r="B530" s="5"/>
      <c r="C530" s="5"/>
      <c r="D530" s="5"/>
      <c r="E530" s="5"/>
      <c r="F530" s="4"/>
      <c r="G530" s="5"/>
      <c r="H530" s="5"/>
      <c r="I530" s="5"/>
      <c r="J530" s="5"/>
    </row>
    <row r="531">
      <c r="A531" s="13"/>
      <c r="B531" s="5"/>
      <c r="C531" s="5"/>
      <c r="D531" s="5"/>
      <c r="E531" s="5"/>
      <c r="F531" s="4"/>
      <c r="G531" s="5"/>
      <c r="H531" s="5"/>
      <c r="I531" s="5"/>
      <c r="J531" s="5"/>
    </row>
    <row r="532">
      <c r="A532" s="13"/>
      <c r="B532" s="5"/>
      <c r="C532" s="5"/>
      <c r="D532" s="5"/>
      <c r="E532" s="5"/>
      <c r="F532" s="4"/>
      <c r="G532" s="5"/>
      <c r="H532" s="5"/>
      <c r="I532" s="5"/>
      <c r="J532" s="5"/>
    </row>
    <row r="533">
      <c r="A533" s="13"/>
      <c r="B533" s="5"/>
      <c r="C533" s="5"/>
      <c r="D533" s="5"/>
      <c r="E533" s="5"/>
      <c r="F533" s="4"/>
      <c r="G533" s="5"/>
      <c r="H533" s="5"/>
      <c r="I533" s="5"/>
      <c r="J533" s="5"/>
    </row>
    <row r="534">
      <c r="A534" s="13"/>
      <c r="B534" s="5"/>
      <c r="C534" s="5"/>
      <c r="D534" s="5"/>
      <c r="E534" s="5"/>
      <c r="F534" s="4"/>
      <c r="G534" s="5"/>
      <c r="H534" s="5"/>
      <c r="I534" s="5"/>
      <c r="J534" s="5"/>
    </row>
    <row r="535">
      <c r="A535" s="13"/>
      <c r="B535" s="5"/>
      <c r="C535" s="5"/>
      <c r="D535" s="5"/>
      <c r="E535" s="5"/>
      <c r="F535" s="4"/>
      <c r="G535" s="5"/>
      <c r="H535" s="5"/>
      <c r="I535" s="5"/>
      <c r="J535" s="5"/>
    </row>
    <row r="536">
      <c r="A536" s="13"/>
      <c r="B536" s="5"/>
      <c r="C536" s="5"/>
      <c r="D536" s="5"/>
      <c r="E536" s="5"/>
      <c r="F536" s="4"/>
      <c r="G536" s="5"/>
      <c r="H536" s="5"/>
      <c r="I536" s="5"/>
      <c r="J536" s="5"/>
    </row>
    <row r="537">
      <c r="A537" s="13"/>
      <c r="B537" s="5"/>
      <c r="C537" s="5"/>
      <c r="D537" s="5"/>
      <c r="E537" s="5"/>
      <c r="F537" s="4"/>
      <c r="G537" s="5"/>
      <c r="H537" s="5"/>
      <c r="I537" s="5"/>
      <c r="J537" s="5"/>
    </row>
    <row r="538">
      <c r="A538" s="13"/>
      <c r="B538" s="5"/>
      <c r="C538" s="5"/>
      <c r="D538" s="5"/>
      <c r="E538" s="5"/>
      <c r="F538" s="4"/>
      <c r="G538" s="5"/>
      <c r="H538" s="5"/>
      <c r="I538" s="5"/>
      <c r="J538" s="5"/>
    </row>
    <row r="539">
      <c r="A539" s="13"/>
      <c r="B539" s="5"/>
      <c r="C539" s="5"/>
      <c r="D539" s="5"/>
      <c r="E539" s="5"/>
      <c r="F539" s="4"/>
      <c r="G539" s="5"/>
      <c r="H539" s="5"/>
      <c r="I539" s="5"/>
      <c r="J539" s="5"/>
    </row>
    <row r="540">
      <c r="A540" s="13"/>
      <c r="B540" s="5"/>
      <c r="C540" s="5"/>
      <c r="D540" s="5"/>
      <c r="E540" s="5"/>
      <c r="F540" s="4"/>
      <c r="G540" s="5"/>
      <c r="H540" s="5"/>
      <c r="I540" s="5"/>
      <c r="J540" s="5"/>
    </row>
    <row r="541">
      <c r="A541" s="13"/>
      <c r="B541" s="5"/>
      <c r="C541" s="5"/>
      <c r="D541" s="5"/>
      <c r="E541" s="5"/>
      <c r="F541" s="4"/>
      <c r="G541" s="5"/>
      <c r="H541" s="5"/>
      <c r="I541" s="5"/>
      <c r="J541" s="5"/>
    </row>
    <row r="542">
      <c r="A542" s="13"/>
      <c r="B542" s="5"/>
      <c r="C542" s="5"/>
      <c r="D542" s="5"/>
      <c r="E542" s="5"/>
      <c r="F542" s="4"/>
      <c r="G542" s="5"/>
      <c r="H542" s="5"/>
      <c r="I542" s="5"/>
      <c r="J542" s="5"/>
    </row>
    <row r="543">
      <c r="A543" s="13"/>
      <c r="B543" s="5"/>
      <c r="C543" s="5"/>
      <c r="D543" s="5"/>
      <c r="E543" s="5"/>
      <c r="F543" s="4"/>
      <c r="G543" s="5"/>
      <c r="H543" s="5"/>
      <c r="I543" s="5"/>
      <c r="J543" s="5"/>
    </row>
    <row r="544">
      <c r="A544" s="13"/>
      <c r="B544" s="5"/>
      <c r="C544" s="5"/>
      <c r="D544" s="5"/>
      <c r="E544" s="5"/>
      <c r="F544" s="4"/>
      <c r="G544" s="5"/>
      <c r="H544" s="5"/>
      <c r="I544" s="5"/>
      <c r="J544" s="5"/>
    </row>
    <row r="545">
      <c r="A545" s="13"/>
      <c r="B545" s="5"/>
      <c r="C545" s="5"/>
      <c r="D545" s="5"/>
      <c r="E545" s="5"/>
      <c r="F545" s="4"/>
      <c r="G545" s="5"/>
      <c r="H545" s="5"/>
      <c r="I545" s="5"/>
      <c r="J545" s="5"/>
    </row>
    <row r="546">
      <c r="A546" s="13"/>
      <c r="B546" s="5"/>
      <c r="C546" s="5"/>
      <c r="D546" s="5"/>
      <c r="E546" s="5"/>
      <c r="F546" s="4"/>
      <c r="G546" s="5"/>
      <c r="H546" s="5"/>
      <c r="I546" s="5"/>
      <c r="J546" s="5"/>
    </row>
    <row r="547">
      <c r="A547" s="13"/>
      <c r="B547" s="5"/>
      <c r="C547" s="5"/>
      <c r="D547" s="5"/>
      <c r="E547" s="5"/>
      <c r="F547" s="4"/>
      <c r="G547" s="5"/>
      <c r="H547" s="5"/>
      <c r="I547" s="5"/>
      <c r="J547" s="5"/>
    </row>
    <row r="548">
      <c r="A548" s="13"/>
      <c r="B548" s="5"/>
      <c r="C548" s="5"/>
      <c r="D548" s="5"/>
      <c r="E548" s="5"/>
      <c r="F548" s="4"/>
      <c r="G548" s="5"/>
      <c r="H548" s="5"/>
      <c r="I548" s="5"/>
      <c r="J548" s="5"/>
    </row>
    <row r="549">
      <c r="A549" s="13"/>
      <c r="B549" s="5"/>
      <c r="C549" s="5"/>
      <c r="D549" s="5"/>
      <c r="E549" s="5"/>
      <c r="F549" s="4"/>
      <c r="G549" s="5"/>
      <c r="H549" s="5"/>
      <c r="I549" s="5"/>
      <c r="J549" s="5"/>
    </row>
    <row r="550">
      <c r="A550" s="13"/>
      <c r="B550" s="5"/>
      <c r="C550" s="5"/>
      <c r="D550" s="5"/>
      <c r="E550" s="5"/>
      <c r="F550" s="4"/>
      <c r="G550" s="5"/>
      <c r="H550" s="5"/>
      <c r="I550" s="5"/>
      <c r="J550" s="5"/>
    </row>
    <row r="551">
      <c r="A551" s="13"/>
      <c r="B551" s="5"/>
      <c r="C551" s="5"/>
      <c r="D551" s="5"/>
      <c r="E551" s="5"/>
      <c r="F551" s="4"/>
      <c r="G551" s="5"/>
      <c r="H551" s="5"/>
      <c r="I551" s="5"/>
      <c r="J551" s="5"/>
    </row>
    <row r="552">
      <c r="A552" s="13"/>
      <c r="B552" s="5"/>
      <c r="C552" s="5"/>
      <c r="D552" s="5"/>
      <c r="E552" s="5"/>
      <c r="F552" s="4"/>
      <c r="G552" s="5"/>
      <c r="H552" s="5"/>
      <c r="I552" s="5"/>
      <c r="J552" s="5"/>
    </row>
    <row r="553">
      <c r="A553" s="13"/>
      <c r="B553" s="5"/>
      <c r="C553" s="5"/>
      <c r="D553" s="5"/>
      <c r="E553" s="5"/>
      <c r="F553" s="4"/>
      <c r="G553" s="5"/>
      <c r="H553" s="5"/>
      <c r="I553" s="5"/>
      <c r="J553" s="5"/>
    </row>
    <row r="554">
      <c r="A554" s="13"/>
      <c r="B554" s="5"/>
      <c r="C554" s="5"/>
      <c r="D554" s="5"/>
      <c r="E554" s="5"/>
      <c r="F554" s="4"/>
      <c r="G554" s="5"/>
      <c r="H554" s="5"/>
      <c r="I554" s="5"/>
      <c r="J554" s="5"/>
    </row>
    <row r="555">
      <c r="A555" s="13"/>
      <c r="B555" s="5"/>
      <c r="C555" s="5"/>
      <c r="D555" s="5"/>
      <c r="E555" s="5"/>
      <c r="F555" s="4"/>
      <c r="G555" s="5"/>
      <c r="H555" s="5"/>
      <c r="I555" s="5"/>
      <c r="J555" s="5"/>
    </row>
    <row r="556">
      <c r="A556" s="13"/>
      <c r="B556" s="5"/>
      <c r="C556" s="5"/>
      <c r="D556" s="5"/>
      <c r="E556" s="5"/>
      <c r="F556" s="4"/>
      <c r="G556" s="5"/>
      <c r="H556" s="5"/>
      <c r="I556" s="5"/>
      <c r="J556" s="5"/>
    </row>
    <row r="557">
      <c r="A557" s="13"/>
      <c r="B557" s="5"/>
      <c r="C557" s="5"/>
      <c r="D557" s="5"/>
      <c r="E557" s="5"/>
      <c r="F557" s="4"/>
      <c r="G557" s="5"/>
      <c r="H557" s="5"/>
      <c r="I557" s="5"/>
      <c r="J557" s="5"/>
    </row>
    <row r="558">
      <c r="A558" s="13"/>
      <c r="B558" s="5"/>
      <c r="C558" s="5"/>
      <c r="D558" s="5"/>
      <c r="E558" s="5"/>
      <c r="F558" s="4"/>
      <c r="G558" s="5"/>
      <c r="H558" s="5"/>
      <c r="I558" s="5"/>
      <c r="J558" s="5"/>
    </row>
    <row r="559">
      <c r="A559" s="13"/>
      <c r="B559" s="5"/>
      <c r="C559" s="5"/>
      <c r="D559" s="5"/>
      <c r="E559" s="5"/>
      <c r="F559" s="4"/>
      <c r="G559" s="5"/>
      <c r="H559" s="5"/>
      <c r="I559" s="5"/>
      <c r="J559" s="5"/>
    </row>
    <row r="560">
      <c r="A560" s="13"/>
      <c r="B560" s="5"/>
      <c r="C560" s="5"/>
      <c r="D560" s="5"/>
      <c r="E560" s="5"/>
      <c r="F560" s="4"/>
      <c r="G560" s="5"/>
      <c r="H560" s="5"/>
      <c r="I560" s="5"/>
      <c r="J560" s="5"/>
    </row>
    <row r="561">
      <c r="A561" s="13"/>
      <c r="B561" s="5"/>
      <c r="C561" s="5"/>
      <c r="D561" s="5"/>
      <c r="E561" s="5"/>
      <c r="F561" s="4"/>
      <c r="G561" s="5"/>
      <c r="H561" s="5"/>
      <c r="I561" s="5"/>
      <c r="J561" s="5"/>
    </row>
    <row r="562">
      <c r="A562" s="13"/>
      <c r="B562" s="5"/>
      <c r="C562" s="5"/>
      <c r="D562" s="5"/>
      <c r="E562" s="5"/>
      <c r="F562" s="4"/>
      <c r="G562" s="5"/>
      <c r="H562" s="5"/>
      <c r="I562" s="5"/>
      <c r="J562" s="5"/>
    </row>
    <row r="563">
      <c r="A563" s="13"/>
      <c r="B563" s="5"/>
      <c r="C563" s="5"/>
      <c r="D563" s="5"/>
      <c r="E563" s="5"/>
      <c r="F563" s="4"/>
      <c r="G563" s="5"/>
      <c r="H563" s="5"/>
      <c r="I563" s="5"/>
      <c r="J563" s="5"/>
    </row>
    <row r="564">
      <c r="A564" s="13"/>
      <c r="B564" s="5"/>
      <c r="C564" s="5"/>
      <c r="D564" s="5"/>
      <c r="E564" s="5"/>
      <c r="F564" s="4"/>
      <c r="G564" s="5"/>
      <c r="H564" s="5"/>
      <c r="I564" s="5"/>
      <c r="J564" s="5"/>
    </row>
    <row r="565">
      <c r="A565" s="13"/>
      <c r="B565" s="5"/>
      <c r="C565" s="5"/>
      <c r="D565" s="5"/>
      <c r="E565" s="5"/>
      <c r="F565" s="4"/>
      <c r="G565" s="5"/>
      <c r="H565" s="5"/>
      <c r="I565" s="5"/>
      <c r="J565" s="5"/>
    </row>
    <row r="566">
      <c r="A566" s="13"/>
      <c r="B566" s="5"/>
      <c r="C566" s="5"/>
      <c r="D566" s="5"/>
      <c r="E566" s="5"/>
      <c r="F566" s="4"/>
      <c r="G566" s="5"/>
      <c r="H566" s="5"/>
      <c r="I566" s="5"/>
      <c r="J566" s="5"/>
    </row>
    <row r="567">
      <c r="A567" s="13"/>
      <c r="B567" s="5"/>
      <c r="C567" s="5"/>
      <c r="D567" s="5"/>
      <c r="E567" s="5"/>
      <c r="F567" s="4"/>
      <c r="G567" s="5"/>
      <c r="H567" s="5"/>
      <c r="I567" s="5"/>
      <c r="J567" s="5"/>
    </row>
    <row r="568">
      <c r="A568" s="13"/>
      <c r="B568" s="5"/>
      <c r="C568" s="5"/>
      <c r="D568" s="5"/>
      <c r="E568" s="5"/>
      <c r="F568" s="4"/>
      <c r="G568" s="5"/>
      <c r="H568" s="5"/>
      <c r="I568" s="5"/>
      <c r="J568" s="5"/>
    </row>
    <row r="569">
      <c r="A569" s="13"/>
      <c r="B569" s="5"/>
      <c r="C569" s="5"/>
      <c r="D569" s="5"/>
      <c r="E569" s="5"/>
      <c r="F569" s="4"/>
      <c r="G569" s="5"/>
      <c r="H569" s="5"/>
      <c r="I569" s="5"/>
      <c r="J569" s="5"/>
    </row>
    <row r="570">
      <c r="A570" s="13"/>
      <c r="B570" s="5"/>
      <c r="C570" s="5"/>
      <c r="D570" s="5"/>
      <c r="E570" s="5"/>
      <c r="F570" s="4"/>
      <c r="G570" s="5"/>
      <c r="H570" s="5"/>
      <c r="I570" s="5"/>
      <c r="J570" s="5"/>
    </row>
    <row r="571">
      <c r="A571" s="13"/>
      <c r="B571" s="5"/>
      <c r="C571" s="5"/>
      <c r="D571" s="5"/>
      <c r="E571" s="5"/>
      <c r="F571" s="4"/>
      <c r="G571" s="5"/>
      <c r="H571" s="5"/>
      <c r="I571" s="5"/>
      <c r="J571" s="5"/>
    </row>
    <row r="572">
      <c r="A572" s="13"/>
      <c r="B572" s="5"/>
      <c r="C572" s="5"/>
      <c r="D572" s="5"/>
      <c r="E572" s="5"/>
      <c r="F572" s="4"/>
      <c r="G572" s="5"/>
      <c r="H572" s="5"/>
      <c r="I572" s="5"/>
      <c r="J572" s="5"/>
    </row>
    <row r="573">
      <c r="A573" s="13"/>
      <c r="B573" s="5"/>
      <c r="C573" s="5"/>
      <c r="D573" s="5"/>
      <c r="E573" s="5"/>
      <c r="F573" s="4"/>
      <c r="G573" s="5"/>
      <c r="H573" s="5"/>
      <c r="I573" s="5"/>
      <c r="J573" s="5"/>
    </row>
    <row r="574">
      <c r="A574" s="13"/>
      <c r="B574" s="5"/>
      <c r="C574" s="5"/>
      <c r="D574" s="5"/>
      <c r="E574" s="5"/>
      <c r="F574" s="4"/>
      <c r="G574" s="5"/>
      <c r="H574" s="5"/>
      <c r="I574" s="5"/>
      <c r="J574" s="5"/>
    </row>
    <row r="575">
      <c r="A575" s="13"/>
      <c r="B575" s="5"/>
      <c r="C575" s="5"/>
      <c r="D575" s="5"/>
      <c r="E575" s="5"/>
      <c r="F575" s="4"/>
      <c r="G575" s="5"/>
      <c r="H575" s="5"/>
      <c r="I575" s="5"/>
      <c r="J575" s="5"/>
    </row>
    <row r="576">
      <c r="A576" s="13"/>
      <c r="B576" s="5"/>
      <c r="C576" s="5"/>
      <c r="D576" s="5"/>
      <c r="E576" s="5"/>
      <c r="F576" s="4"/>
      <c r="G576" s="5"/>
      <c r="H576" s="5"/>
      <c r="I576" s="5"/>
      <c r="J576" s="5"/>
    </row>
    <row r="577">
      <c r="A577" s="13"/>
      <c r="B577" s="5"/>
      <c r="C577" s="5"/>
      <c r="D577" s="5"/>
      <c r="E577" s="5"/>
      <c r="F577" s="4"/>
      <c r="G577" s="5"/>
      <c r="H577" s="5"/>
      <c r="I577" s="5"/>
      <c r="J577" s="5"/>
    </row>
    <row r="578">
      <c r="A578" s="13"/>
      <c r="B578" s="5"/>
      <c r="C578" s="5"/>
      <c r="D578" s="5"/>
      <c r="E578" s="5"/>
      <c r="F578" s="4"/>
      <c r="G578" s="5"/>
      <c r="H578" s="5"/>
      <c r="I578" s="5"/>
      <c r="J578" s="5"/>
    </row>
    <row r="579">
      <c r="A579" s="13"/>
      <c r="B579" s="5"/>
      <c r="C579" s="5"/>
      <c r="D579" s="5"/>
      <c r="E579" s="5"/>
      <c r="F579" s="4"/>
      <c r="G579" s="5"/>
      <c r="H579" s="5"/>
      <c r="I579" s="5"/>
      <c r="J579" s="5"/>
    </row>
    <row r="580">
      <c r="A580" s="13"/>
      <c r="B580" s="5"/>
      <c r="C580" s="5"/>
      <c r="D580" s="5"/>
      <c r="E580" s="5"/>
      <c r="F580" s="4"/>
      <c r="G580" s="5"/>
      <c r="H580" s="5"/>
      <c r="I580" s="5"/>
      <c r="J580" s="5"/>
    </row>
    <row r="581">
      <c r="A581" s="13"/>
      <c r="B581" s="5"/>
      <c r="C581" s="5"/>
      <c r="D581" s="5"/>
      <c r="E581" s="5"/>
      <c r="F581" s="4"/>
      <c r="G581" s="5"/>
      <c r="H581" s="5"/>
      <c r="I581" s="5"/>
      <c r="J581" s="5"/>
    </row>
    <row r="582">
      <c r="A582" s="13"/>
      <c r="B582" s="5"/>
      <c r="C582" s="5"/>
      <c r="D582" s="5"/>
      <c r="E582" s="5"/>
      <c r="F582" s="4"/>
      <c r="G582" s="5"/>
      <c r="H582" s="5"/>
      <c r="I582" s="5"/>
      <c r="J582" s="5"/>
    </row>
    <row r="583">
      <c r="A583" s="13"/>
      <c r="B583" s="5"/>
      <c r="C583" s="5"/>
      <c r="D583" s="5"/>
      <c r="E583" s="5"/>
      <c r="F583" s="4"/>
      <c r="G583" s="5"/>
      <c r="H583" s="5"/>
      <c r="I583" s="5"/>
      <c r="J583" s="5"/>
    </row>
    <row r="584">
      <c r="A584" s="13"/>
      <c r="B584" s="5"/>
      <c r="C584" s="5"/>
      <c r="D584" s="5"/>
      <c r="E584" s="5"/>
      <c r="F584" s="4"/>
      <c r="G584" s="5"/>
      <c r="H584" s="5"/>
      <c r="I584" s="5"/>
      <c r="J584" s="5"/>
    </row>
    <row r="585">
      <c r="A585" s="13"/>
      <c r="B585" s="5"/>
      <c r="C585" s="5"/>
      <c r="D585" s="5"/>
      <c r="E585" s="5"/>
      <c r="F585" s="4"/>
      <c r="G585" s="5"/>
      <c r="H585" s="5"/>
      <c r="I585" s="5"/>
      <c r="J585" s="5"/>
    </row>
    <row r="586">
      <c r="A586" s="13"/>
      <c r="B586" s="5"/>
      <c r="C586" s="5"/>
      <c r="D586" s="5"/>
      <c r="E586" s="5"/>
      <c r="F586" s="4"/>
      <c r="G586" s="5"/>
      <c r="H586" s="5"/>
      <c r="I586" s="5"/>
      <c r="J586" s="5"/>
    </row>
    <row r="587">
      <c r="A587" s="13"/>
      <c r="B587" s="5"/>
      <c r="C587" s="5"/>
      <c r="D587" s="5"/>
      <c r="E587" s="5"/>
      <c r="F587" s="4"/>
      <c r="G587" s="5"/>
      <c r="H587" s="5"/>
      <c r="I587" s="5"/>
      <c r="J587" s="5"/>
    </row>
    <row r="588">
      <c r="A588" s="13"/>
      <c r="B588" s="5"/>
      <c r="C588" s="5"/>
      <c r="D588" s="5"/>
      <c r="E588" s="5"/>
      <c r="F588" s="4"/>
      <c r="G588" s="5"/>
      <c r="H588" s="5"/>
      <c r="I588" s="5"/>
      <c r="J588" s="5"/>
    </row>
    <row r="589">
      <c r="A589" s="13"/>
      <c r="B589" s="5"/>
      <c r="C589" s="5"/>
      <c r="D589" s="5"/>
      <c r="E589" s="5"/>
      <c r="F589" s="4"/>
      <c r="G589" s="5"/>
      <c r="H589" s="5"/>
      <c r="I589" s="5"/>
      <c r="J589" s="5"/>
    </row>
    <row r="590">
      <c r="A590" s="13"/>
      <c r="B590" s="5"/>
      <c r="C590" s="5"/>
      <c r="D590" s="5"/>
      <c r="E590" s="5"/>
      <c r="F590" s="4"/>
      <c r="G590" s="5"/>
      <c r="H590" s="5"/>
      <c r="I590" s="5"/>
      <c r="J590" s="5"/>
    </row>
    <row r="591">
      <c r="A591" s="13"/>
      <c r="B591" s="5"/>
      <c r="C591" s="5"/>
      <c r="D591" s="5"/>
      <c r="E591" s="5"/>
      <c r="F591" s="4"/>
      <c r="G591" s="5"/>
      <c r="H591" s="5"/>
      <c r="I591" s="5"/>
      <c r="J591" s="5"/>
    </row>
    <row r="592">
      <c r="A592" s="13"/>
      <c r="B592" s="5"/>
      <c r="C592" s="5"/>
      <c r="D592" s="5"/>
      <c r="E592" s="5"/>
      <c r="F592" s="4"/>
      <c r="G592" s="5"/>
      <c r="H592" s="5"/>
      <c r="I592" s="5"/>
      <c r="J592" s="5"/>
    </row>
    <row r="593">
      <c r="A593" s="13"/>
      <c r="B593" s="5"/>
      <c r="C593" s="5"/>
      <c r="D593" s="5"/>
      <c r="E593" s="5"/>
      <c r="F593" s="4"/>
      <c r="G593" s="5"/>
      <c r="H593" s="5"/>
      <c r="I593" s="5"/>
      <c r="J593" s="5"/>
    </row>
    <row r="594">
      <c r="A594" s="13"/>
      <c r="B594" s="5"/>
      <c r="C594" s="5"/>
      <c r="D594" s="5"/>
      <c r="E594" s="5"/>
      <c r="F594" s="4"/>
      <c r="G594" s="5"/>
      <c r="H594" s="5"/>
      <c r="I594" s="5"/>
      <c r="J594" s="5"/>
    </row>
    <row r="595">
      <c r="A595" s="13"/>
      <c r="B595" s="5"/>
      <c r="C595" s="5"/>
      <c r="D595" s="5"/>
      <c r="E595" s="5"/>
      <c r="F595" s="4"/>
      <c r="G595" s="5"/>
      <c r="H595" s="5"/>
      <c r="I595" s="5"/>
      <c r="J595" s="5"/>
    </row>
    <row r="596">
      <c r="A596" s="13"/>
      <c r="B596" s="5"/>
      <c r="C596" s="5"/>
      <c r="D596" s="5"/>
      <c r="E596" s="5"/>
      <c r="F596" s="4"/>
      <c r="G596" s="5"/>
      <c r="H596" s="5"/>
      <c r="I596" s="5"/>
      <c r="J596" s="5"/>
    </row>
    <row r="597">
      <c r="A597" s="13"/>
      <c r="B597" s="5"/>
      <c r="C597" s="5"/>
      <c r="D597" s="5"/>
      <c r="E597" s="5"/>
      <c r="F597" s="4"/>
      <c r="G597" s="5"/>
      <c r="H597" s="5"/>
      <c r="I597" s="5"/>
      <c r="J597" s="5"/>
    </row>
    <row r="598">
      <c r="A598" s="13"/>
      <c r="B598" s="5"/>
      <c r="C598" s="5"/>
      <c r="D598" s="5"/>
      <c r="E598" s="5"/>
      <c r="F598" s="4"/>
      <c r="G598" s="5"/>
      <c r="H598" s="5"/>
      <c r="I598" s="5"/>
      <c r="J598" s="5"/>
    </row>
    <row r="599">
      <c r="A599" s="13"/>
      <c r="B599" s="5"/>
      <c r="C599" s="5"/>
      <c r="D599" s="5"/>
      <c r="E599" s="5"/>
      <c r="F599" s="4"/>
      <c r="G599" s="5"/>
      <c r="H599" s="5"/>
      <c r="I599" s="5"/>
      <c r="J599" s="5"/>
    </row>
    <row r="600">
      <c r="A600" s="13"/>
      <c r="B600" s="5"/>
      <c r="C600" s="5"/>
      <c r="D600" s="5"/>
      <c r="E600" s="5"/>
      <c r="F600" s="4"/>
      <c r="G600" s="5"/>
      <c r="H600" s="5"/>
      <c r="I600" s="5"/>
      <c r="J600" s="5"/>
    </row>
    <row r="601">
      <c r="A601" s="13"/>
      <c r="B601" s="5"/>
      <c r="C601" s="5"/>
      <c r="D601" s="5"/>
      <c r="E601" s="5"/>
      <c r="F601" s="4"/>
      <c r="G601" s="5"/>
      <c r="H601" s="5"/>
      <c r="I601" s="5"/>
      <c r="J601" s="5"/>
    </row>
    <row r="602">
      <c r="A602" s="13"/>
      <c r="B602" s="5"/>
      <c r="C602" s="5"/>
      <c r="D602" s="5"/>
      <c r="E602" s="5"/>
      <c r="F602" s="4"/>
      <c r="G602" s="5"/>
      <c r="H602" s="5"/>
      <c r="I602" s="5"/>
      <c r="J602" s="5"/>
    </row>
    <row r="603">
      <c r="A603" s="13"/>
      <c r="B603" s="5"/>
      <c r="C603" s="5"/>
      <c r="D603" s="5"/>
      <c r="E603" s="5"/>
      <c r="F603" s="4"/>
      <c r="G603" s="5"/>
      <c r="H603" s="5"/>
      <c r="I603" s="5"/>
      <c r="J603" s="5"/>
    </row>
    <row r="604">
      <c r="A604" s="13"/>
      <c r="B604" s="5"/>
      <c r="C604" s="5"/>
      <c r="D604" s="5"/>
      <c r="E604" s="5"/>
      <c r="F604" s="4"/>
      <c r="G604" s="5"/>
      <c r="H604" s="5"/>
      <c r="I604" s="5"/>
      <c r="J604" s="5"/>
    </row>
    <row r="605">
      <c r="A605" s="13"/>
      <c r="B605" s="5"/>
      <c r="C605" s="5"/>
      <c r="D605" s="5"/>
      <c r="E605" s="5"/>
      <c r="F605" s="4"/>
      <c r="G605" s="5"/>
      <c r="H605" s="5"/>
      <c r="I605" s="5"/>
      <c r="J605" s="5"/>
    </row>
    <row r="606">
      <c r="A606" s="13"/>
      <c r="B606" s="5"/>
      <c r="C606" s="5"/>
      <c r="D606" s="5"/>
      <c r="E606" s="5"/>
      <c r="F606" s="4"/>
      <c r="G606" s="5"/>
      <c r="H606" s="5"/>
      <c r="I606" s="5"/>
      <c r="J606" s="5"/>
    </row>
    <row r="607">
      <c r="A607" s="13"/>
      <c r="B607" s="5"/>
      <c r="C607" s="5"/>
      <c r="D607" s="5"/>
      <c r="E607" s="5"/>
      <c r="F607" s="4"/>
      <c r="G607" s="5"/>
      <c r="H607" s="5"/>
      <c r="I607" s="5"/>
      <c r="J607" s="5"/>
    </row>
    <row r="608">
      <c r="A608" s="13"/>
      <c r="B608" s="5"/>
      <c r="C608" s="5"/>
      <c r="D608" s="5"/>
      <c r="E608" s="5"/>
      <c r="F608" s="4"/>
      <c r="G608" s="5"/>
      <c r="H608" s="5"/>
      <c r="I608" s="5"/>
      <c r="J608" s="5"/>
    </row>
    <row r="609">
      <c r="A609" s="13"/>
      <c r="B609" s="5"/>
      <c r="C609" s="5"/>
      <c r="D609" s="5"/>
      <c r="E609" s="5"/>
      <c r="F609" s="4"/>
      <c r="G609" s="5"/>
      <c r="H609" s="5"/>
      <c r="I609" s="5"/>
      <c r="J609" s="5"/>
    </row>
    <row r="610">
      <c r="A610" s="13"/>
      <c r="B610" s="5"/>
      <c r="C610" s="5"/>
      <c r="D610" s="5"/>
      <c r="E610" s="5"/>
      <c r="F610" s="4"/>
      <c r="G610" s="5"/>
      <c r="H610" s="5"/>
      <c r="I610" s="5"/>
      <c r="J610" s="5"/>
    </row>
    <row r="611">
      <c r="A611" s="13"/>
      <c r="B611" s="5"/>
      <c r="C611" s="5"/>
      <c r="D611" s="5"/>
      <c r="E611" s="5"/>
      <c r="F611" s="4"/>
      <c r="G611" s="5"/>
      <c r="H611" s="5"/>
      <c r="I611" s="5"/>
      <c r="J611" s="5"/>
    </row>
    <row r="612">
      <c r="A612" s="13"/>
      <c r="B612" s="5"/>
      <c r="C612" s="5"/>
      <c r="D612" s="5"/>
      <c r="E612" s="5"/>
      <c r="F612" s="4"/>
      <c r="G612" s="5"/>
      <c r="H612" s="5"/>
      <c r="I612" s="5"/>
      <c r="J612" s="5"/>
    </row>
    <row r="613">
      <c r="A613" s="13"/>
      <c r="B613" s="5"/>
      <c r="C613" s="5"/>
      <c r="D613" s="5"/>
      <c r="E613" s="5"/>
      <c r="F613" s="4"/>
      <c r="G613" s="5"/>
      <c r="H613" s="5"/>
      <c r="I613" s="5"/>
      <c r="J613" s="5"/>
    </row>
    <row r="614">
      <c r="A614" s="13"/>
      <c r="B614" s="5"/>
      <c r="C614" s="5"/>
      <c r="D614" s="5"/>
      <c r="E614" s="5"/>
      <c r="F614" s="4"/>
      <c r="G614" s="5"/>
      <c r="H614" s="5"/>
      <c r="I614" s="5"/>
      <c r="J614" s="5"/>
    </row>
    <row r="615">
      <c r="A615" s="13"/>
      <c r="B615" s="5"/>
      <c r="C615" s="5"/>
      <c r="D615" s="5"/>
      <c r="E615" s="5"/>
      <c r="F615" s="4"/>
      <c r="G615" s="5"/>
      <c r="H615" s="5"/>
      <c r="I615" s="5"/>
      <c r="J615" s="5"/>
    </row>
    <row r="616">
      <c r="A616" s="13"/>
      <c r="B616" s="5"/>
      <c r="C616" s="5"/>
      <c r="D616" s="5"/>
      <c r="E616" s="5"/>
      <c r="F616" s="4"/>
      <c r="G616" s="5"/>
      <c r="H616" s="5"/>
      <c r="I616" s="5"/>
      <c r="J616" s="5"/>
    </row>
    <row r="617">
      <c r="A617" s="13"/>
      <c r="B617" s="5"/>
      <c r="C617" s="5"/>
      <c r="D617" s="5"/>
      <c r="E617" s="5"/>
      <c r="F617" s="4"/>
      <c r="G617" s="5"/>
      <c r="H617" s="5"/>
      <c r="I617" s="5"/>
      <c r="J617" s="5"/>
    </row>
    <row r="618">
      <c r="A618" s="13"/>
      <c r="B618" s="5"/>
      <c r="C618" s="5"/>
      <c r="D618" s="5"/>
      <c r="E618" s="5"/>
      <c r="F618" s="4"/>
      <c r="G618" s="5"/>
      <c r="H618" s="5"/>
      <c r="I618" s="5"/>
      <c r="J618" s="5"/>
    </row>
    <row r="619">
      <c r="A619" s="13"/>
      <c r="B619" s="5"/>
      <c r="C619" s="5"/>
      <c r="D619" s="5"/>
      <c r="E619" s="5"/>
      <c r="F619" s="4"/>
      <c r="G619" s="5"/>
      <c r="H619" s="5"/>
      <c r="I619" s="5"/>
      <c r="J619" s="5"/>
    </row>
    <row r="620">
      <c r="A620" s="13"/>
      <c r="B620" s="5"/>
      <c r="C620" s="5"/>
      <c r="D620" s="5"/>
      <c r="E620" s="5"/>
      <c r="F620" s="4"/>
      <c r="G620" s="5"/>
      <c r="H620" s="5"/>
      <c r="I620" s="5"/>
      <c r="J620" s="5"/>
    </row>
    <row r="621">
      <c r="A621" s="13"/>
      <c r="B621" s="5"/>
      <c r="C621" s="5"/>
      <c r="D621" s="5"/>
      <c r="E621" s="5"/>
      <c r="F621" s="4"/>
      <c r="G621" s="5"/>
      <c r="H621" s="5"/>
      <c r="I621" s="5"/>
      <c r="J621" s="5"/>
    </row>
    <row r="622">
      <c r="A622" s="13"/>
      <c r="B622" s="5"/>
      <c r="C622" s="5"/>
      <c r="D622" s="5"/>
      <c r="E622" s="5"/>
      <c r="F622" s="4"/>
      <c r="G622" s="5"/>
      <c r="H622" s="5"/>
      <c r="I622" s="5"/>
      <c r="J622" s="5"/>
    </row>
    <row r="623">
      <c r="A623" s="13"/>
      <c r="B623" s="5"/>
      <c r="C623" s="5"/>
      <c r="D623" s="5"/>
      <c r="E623" s="5"/>
      <c r="F623" s="4"/>
      <c r="G623" s="5"/>
      <c r="H623" s="5"/>
      <c r="I623" s="5"/>
      <c r="J623" s="5"/>
    </row>
    <row r="624">
      <c r="A624" s="13"/>
      <c r="B624" s="5"/>
      <c r="C624" s="5"/>
      <c r="D624" s="5"/>
      <c r="E624" s="5"/>
      <c r="F624" s="4"/>
      <c r="G624" s="5"/>
      <c r="H624" s="5"/>
      <c r="I624" s="5"/>
      <c r="J624" s="5"/>
    </row>
    <row r="625">
      <c r="A625" s="13"/>
      <c r="B625" s="5"/>
      <c r="C625" s="5"/>
      <c r="D625" s="5"/>
      <c r="E625" s="5"/>
      <c r="F625" s="4"/>
      <c r="G625" s="5"/>
      <c r="H625" s="5"/>
      <c r="I625" s="5"/>
      <c r="J625" s="5"/>
    </row>
    <row r="626">
      <c r="A626" s="13"/>
      <c r="B626" s="5"/>
      <c r="C626" s="5"/>
      <c r="D626" s="5"/>
      <c r="E626" s="5"/>
      <c r="F626" s="4"/>
      <c r="G626" s="5"/>
      <c r="H626" s="5"/>
      <c r="I626" s="5"/>
      <c r="J626" s="5"/>
    </row>
    <row r="627">
      <c r="A627" s="13"/>
      <c r="B627" s="5"/>
      <c r="C627" s="5"/>
      <c r="D627" s="5"/>
      <c r="E627" s="5"/>
      <c r="F627" s="4"/>
      <c r="G627" s="5"/>
      <c r="H627" s="5"/>
      <c r="I627" s="5"/>
      <c r="J627" s="5"/>
    </row>
    <row r="628">
      <c r="A628" s="13"/>
      <c r="B628" s="5"/>
      <c r="C628" s="5"/>
      <c r="D628" s="5"/>
      <c r="E628" s="5"/>
      <c r="F628" s="4"/>
      <c r="G628" s="5"/>
      <c r="H628" s="5"/>
      <c r="I628" s="5"/>
      <c r="J628" s="5"/>
    </row>
    <row r="629">
      <c r="A629" s="13"/>
      <c r="B629" s="5"/>
      <c r="C629" s="5"/>
      <c r="D629" s="5"/>
      <c r="E629" s="5"/>
      <c r="F629" s="4"/>
      <c r="G629" s="5"/>
      <c r="H629" s="5"/>
      <c r="I629" s="5"/>
      <c r="J629" s="5"/>
    </row>
    <row r="630">
      <c r="A630" s="13"/>
      <c r="B630" s="5"/>
      <c r="C630" s="5"/>
      <c r="D630" s="5"/>
      <c r="E630" s="5"/>
      <c r="F630" s="4"/>
      <c r="G630" s="5"/>
      <c r="H630" s="5"/>
      <c r="I630" s="5"/>
      <c r="J630" s="5"/>
    </row>
    <row r="631">
      <c r="A631" s="13"/>
      <c r="B631" s="5"/>
      <c r="C631" s="5"/>
      <c r="D631" s="5"/>
      <c r="E631" s="5"/>
      <c r="F631" s="4"/>
      <c r="G631" s="5"/>
      <c r="H631" s="5"/>
      <c r="I631" s="5"/>
      <c r="J631" s="5"/>
    </row>
    <row r="632">
      <c r="A632" s="13"/>
      <c r="B632" s="5"/>
      <c r="C632" s="5"/>
      <c r="D632" s="5"/>
      <c r="E632" s="5"/>
      <c r="F632" s="4"/>
      <c r="G632" s="5"/>
      <c r="H632" s="5"/>
      <c r="I632" s="5"/>
      <c r="J632" s="5"/>
    </row>
    <row r="633">
      <c r="A633" s="13"/>
      <c r="B633" s="5"/>
      <c r="C633" s="5"/>
      <c r="D633" s="5"/>
      <c r="E633" s="5"/>
      <c r="F633" s="4"/>
      <c r="G633" s="5"/>
      <c r="H633" s="5"/>
      <c r="I633" s="5"/>
      <c r="J633" s="5"/>
    </row>
    <row r="634">
      <c r="A634" s="13"/>
      <c r="B634" s="5"/>
      <c r="C634" s="5"/>
      <c r="D634" s="5"/>
      <c r="E634" s="5"/>
      <c r="F634" s="4"/>
      <c r="G634" s="5"/>
      <c r="H634" s="5"/>
      <c r="I634" s="5"/>
      <c r="J634" s="5"/>
    </row>
    <row r="635">
      <c r="A635" s="13"/>
      <c r="B635" s="5"/>
      <c r="C635" s="5"/>
      <c r="D635" s="5"/>
      <c r="E635" s="5"/>
      <c r="F635" s="4"/>
      <c r="G635" s="5"/>
      <c r="H635" s="5"/>
      <c r="I635" s="5"/>
      <c r="J635" s="5"/>
    </row>
    <row r="636">
      <c r="A636" s="13"/>
      <c r="B636" s="5"/>
      <c r="C636" s="5"/>
      <c r="D636" s="5"/>
      <c r="E636" s="5"/>
      <c r="F636" s="4"/>
      <c r="G636" s="5"/>
      <c r="H636" s="5"/>
      <c r="I636" s="5"/>
      <c r="J636" s="5"/>
    </row>
    <row r="637">
      <c r="A637" s="13"/>
      <c r="B637" s="5"/>
      <c r="C637" s="5"/>
      <c r="D637" s="5"/>
      <c r="E637" s="5"/>
      <c r="F637" s="4"/>
      <c r="G637" s="5"/>
      <c r="H637" s="5"/>
      <c r="I637" s="5"/>
      <c r="J637" s="5"/>
    </row>
    <row r="638">
      <c r="A638" s="13"/>
      <c r="B638" s="5"/>
      <c r="C638" s="5"/>
      <c r="D638" s="5"/>
      <c r="E638" s="5"/>
      <c r="F638" s="4"/>
      <c r="G638" s="5"/>
      <c r="H638" s="5"/>
      <c r="I638" s="5"/>
      <c r="J638" s="5"/>
    </row>
    <row r="639">
      <c r="A639" s="13"/>
      <c r="B639" s="5"/>
      <c r="C639" s="5"/>
      <c r="D639" s="5"/>
      <c r="E639" s="5"/>
      <c r="F639" s="4"/>
      <c r="G639" s="5"/>
      <c r="H639" s="5"/>
      <c r="I639" s="5"/>
      <c r="J639" s="5"/>
    </row>
    <row r="640">
      <c r="A640" s="13"/>
      <c r="B640" s="5"/>
      <c r="C640" s="5"/>
      <c r="D640" s="5"/>
      <c r="E640" s="5"/>
      <c r="F640" s="4"/>
      <c r="G640" s="5"/>
      <c r="H640" s="5"/>
      <c r="I640" s="5"/>
      <c r="J640" s="5"/>
    </row>
    <row r="641">
      <c r="A641" s="13"/>
      <c r="B641" s="5"/>
      <c r="C641" s="5"/>
      <c r="D641" s="5"/>
      <c r="E641" s="5"/>
      <c r="F641" s="4"/>
      <c r="G641" s="5"/>
      <c r="H641" s="5"/>
      <c r="I641" s="5"/>
      <c r="J641" s="5"/>
    </row>
    <row r="642">
      <c r="A642" s="13"/>
      <c r="B642" s="5"/>
      <c r="C642" s="5"/>
      <c r="D642" s="5"/>
      <c r="E642" s="5"/>
      <c r="F642" s="4"/>
      <c r="G642" s="5"/>
      <c r="H642" s="5"/>
      <c r="I642" s="5"/>
      <c r="J642" s="5"/>
    </row>
    <row r="643">
      <c r="A643" s="13"/>
      <c r="B643" s="5"/>
      <c r="C643" s="5"/>
      <c r="D643" s="5"/>
      <c r="E643" s="5"/>
      <c r="F643" s="4"/>
      <c r="G643" s="5"/>
      <c r="H643" s="5"/>
      <c r="I643" s="5"/>
      <c r="J643" s="5"/>
    </row>
    <row r="644">
      <c r="A644" s="13"/>
      <c r="B644" s="5"/>
      <c r="C644" s="5"/>
      <c r="D644" s="5"/>
      <c r="E644" s="5"/>
      <c r="F644" s="4"/>
      <c r="G644" s="5"/>
      <c r="H644" s="5"/>
      <c r="I644" s="5"/>
      <c r="J644" s="5"/>
    </row>
    <row r="645">
      <c r="A645" s="13"/>
      <c r="B645" s="5"/>
      <c r="C645" s="5"/>
      <c r="D645" s="5"/>
      <c r="E645" s="5"/>
      <c r="F645" s="4"/>
      <c r="G645" s="5"/>
      <c r="H645" s="5"/>
      <c r="I645" s="5"/>
      <c r="J645" s="5"/>
    </row>
    <row r="646">
      <c r="A646" s="13"/>
      <c r="B646" s="5"/>
      <c r="C646" s="5"/>
      <c r="D646" s="5"/>
      <c r="E646" s="5"/>
      <c r="F646" s="4"/>
      <c r="G646" s="5"/>
      <c r="H646" s="5"/>
      <c r="I646" s="5"/>
      <c r="J646" s="5"/>
    </row>
    <row r="647">
      <c r="A647" s="13"/>
      <c r="B647" s="5"/>
      <c r="C647" s="5"/>
      <c r="D647" s="5"/>
      <c r="E647" s="5"/>
      <c r="F647" s="4"/>
      <c r="G647" s="5"/>
      <c r="H647" s="5"/>
      <c r="I647" s="5"/>
      <c r="J647" s="5"/>
    </row>
    <row r="648">
      <c r="A648" s="13"/>
      <c r="B648" s="5"/>
      <c r="C648" s="5"/>
      <c r="D648" s="5"/>
      <c r="E648" s="5"/>
      <c r="F648" s="4"/>
      <c r="G648" s="5"/>
      <c r="H648" s="5"/>
      <c r="I648" s="5"/>
      <c r="J648" s="5"/>
    </row>
    <row r="649">
      <c r="A649" s="13"/>
      <c r="B649" s="5"/>
      <c r="C649" s="5"/>
      <c r="D649" s="5"/>
      <c r="E649" s="5"/>
      <c r="F649" s="4"/>
      <c r="G649" s="5"/>
      <c r="H649" s="5"/>
      <c r="I649" s="5"/>
      <c r="J649" s="5"/>
    </row>
    <row r="650">
      <c r="A650" s="13"/>
      <c r="B650" s="5"/>
      <c r="C650" s="5"/>
      <c r="D650" s="5"/>
      <c r="E650" s="5"/>
      <c r="F650" s="4"/>
      <c r="G650" s="5"/>
      <c r="H650" s="5"/>
      <c r="I650" s="5"/>
      <c r="J650" s="5"/>
    </row>
    <row r="651">
      <c r="A651" s="13"/>
      <c r="B651" s="5"/>
      <c r="C651" s="5"/>
      <c r="D651" s="5"/>
      <c r="E651" s="5"/>
      <c r="F651" s="4"/>
      <c r="G651" s="5"/>
      <c r="H651" s="5"/>
      <c r="I651" s="5"/>
      <c r="J651" s="5"/>
    </row>
    <row r="652">
      <c r="A652" s="13"/>
      <c r="B652" s="5"/>
      <c r="C652" s="5"/>
      <c r="D652" s="5"/>
      <c r="E652" s="5"/>
      <c r="F652" s="4"/>
      <c r="G652" s="5"/>
      <c r="H652" s="5"/>
      <c r="I652" s="5"/>
      <c r="J652" s="5"/>
    </row>
    <row r="653">
      <c r="A653" s="13"/>
      <c r="B653" s="5"/>
      <c r="C653" s="5"/>
      <c r="D653" s="5"/>
      <c r="E653" s="5"/>
      <c r="F653" s="4"/>
      <c r="G653" s="5"/>
      <c r="H653" s="5"/>
      <c r="I653" s="5"/>
      <c r="J653" s="5"/>
    </row>
    <row r="654">
      <c r="A654" s="13"/>
      <c r="B654" s="5"/>
      <c r="C654" s="5"/>
      <c r="D654" s="5"/>
      <c r="E654" s="5"/>
      <c r="F654" s="4"/>
      <c r="G654" s="5"/>
      <c r="H654" s="5"/>
      <c r="I654" s="5"/>
      <c r="J654" s="5"/>
    </row>
    <row r="655">
      <c r="A655" s="13"/>
      <c r="B655" s="5"/>
      <c r="C655" s="5"/>
      <c r="D655" s="5"/>
      <c r="E655" s="5"/>
      <c r="F655" s="4"/>
      <c r="G655" s="5"/>
      <c r="H655" s="5"/>
      <c r="I655" s="5"/>
      <c r="J655" s="5"/>
    </row>
    <row r="656">
      <c r="A656" s="13"/>
      <c r="B656" s="5"/>
      <c r="C656" s="5"/>
      <c r="D656" s="5"/>
      <c r="E656" s="5"/>
      <c r="F656" s="4"/>
      <c r="G656" s="5"/>
      <c r="H656" s="5"/>
      <c r="I656" s="5"/>
      <c r="J656" s="5"/>
    </row>
    <row r="657">
      <c r="A657" s="13"/>
      <c r="B657" s="5"/>
      <c r="C657" s="5"/>
      <c r="D657" s="5"/>
      <c r="E657" s="5"/>
      <c r="F657" s="4"/>
      <c r="G657" s="5"/>
      <c r="H657" s="5"/>
      <c r="I657" s="5"/>
      <c r="J657" s="5"/>
    </row>
    <row r="658">
      <c r="A658" s="13"/>
      <c r="B658" s="5"/>
      <c r="C658" s="5"/>
      <c r="D658" s="5"/>
      <c r="E658" s="5"/>
      <c r="F658" s="4"/>
      <c r="G658" s="5"/>
      <c r="H658" s="5"/>
      <c r="I658" s="5"/>
      <c r="J658" s="5"/>
    </row>
    <row r="659">
      <c r="A659" s="13"/>
      <c r="B659" s="5"/>
      <c r="C659" s="5"/>
      <c r="D659" s="5"/>
      <c r="E659" s="5"/>
      <c r="F659" s="4"/>
      <c r="G659" s="5"/>
      <c r="H659" s="5"/>
      <c r="I659" s="5"/>
      <c r="J659" s="5"/>
    </row>
    <row r="660">
      <c r="A660" s="13"/>
      <c r="B660" s="5"/>
      <c r="C660" s="5"/>
      <c r="D660" s="5"/>
      <c r="E660" s="5"/>
      <c r="F660" s="4"/>
      <c r="G660" s="5"/>
      <c r="H660" s="5"/>
      <c r="I660" s="5"/>
      <c r="J660" s="5"/>
    </row>
    <row r="661">
      <c r="A661" s="13"/>
      <c r="B661" s="5"/>
      <c r="C661" s="5"/>
      <c r="D661" s="5"/>
      <c r="E661" s="5"/>
      <c r="F661" s="4"/>
      <c r="G661" s="5"/>
      <c r="H661" s="5"/>
      <c r="I661" s="5"/>
      <c r="J661" s="5"/>
    </row>
    <row r="662">
      <c r="A662" s="13"/>
      <c r="B662" s="5"/>
      <c r="C662" s="5"/>
      <c r="D662" s="5"/>
      <c r="E662" s="5"/>
      <c r="F662" s="4"/>
      <c r="G662" s="5"/>
      <c r="H662" s="5"/>
      <c r="I662" s="5"/>
      <c r="J662" s="5"/>
    </row>
    <row r="663">
      <c r="A663" s="13"/>
      <c r="B663" s="5"/>
      <c r="C663" s="5"/>
      <c r="D663" s="5"/>
      <c r="E663" s="5"/>
      <c r="F663" s="4"/>
      <c r="G663" s="5"/>
      <c r="H663" s="5"/>
      <c r="I663" s="5"/>
      <c r="J663" s="5"/>
    </row>
    <row r="664">
      <c r="A664" s="13"/>
      <c r="B664" s="5"/>
      <c r="C664" s="5"/>
      <c r="D664" s="5"/>
      <c r="E664" s="5"/>
      <c r="F664" s="4"/>
      <c r="G664" s="5"/>
      <c r="H664" s="5"/>
      <c r="I664" s="5"/>
      <c r="J664" s="5"/>
    </row>
    <row r="665">
      <c r="A665" s="13"/>
      <c r="B665" s="5"/>
      <c r="C665" s="5"/>
      <c r="D665" s="5"/>
      <c r="E665" s="5"/>
      <c r="F665" s="4"/>
      <c r="G665" s="5"/>
      <c r="H665" s="5"/>
      <c r="I665" s="5"/>
      <c r="J665" s="5"/>
    </row>
    <row r="666">
      <c r="A666" s="13"/>
      <c r="B666" s="5"/>
      <c r="C666" s="5"/>
      <c r="D666" s="5"/>
      <c r="E666" s="5"/>
      <c r="F666" s="4"/>
      <c r="G666" s="5"/>
      <c r="H666" s="5"/>
      <c r="I666" s="5"/>
      <c r="J666" s="5"/>
    </row>
    <row r="667">
      <c r="A667" s="13"/>
      <c r="B667" s="5"/>
      <c r="C667" s="5"/>
      <c r="D667" s="5"/>
      <c r="E667" s="5"/>
      <c r="F667" s="4"/>
      <c r="G667" s="5"/>
      <c r="H667" s="5"/>
      <c r="I667" s="5"/>
      <c r="J667" s="5"/>
    </row>
    <row r="668">
      <c r="A668" s="13"/>
      <c r="B668" s="5"/>
      <c r="C668" s="5"/>
      <c r="D668" s="5"/>
      <c r="E668" s="5"/>
      <c r="F668" s="4"/>
      <c r="G668" s="5"/>
      <c r="H668" s="5"/>
      <c r="I668" s="5"/>
      <c r="J668" s="5"/>
    </row>
    <row r="669">
      <c r="A669" s="13"/>
      <c r="B669" s="5"/>
      <c r="C669" s="5"/>
      <c r="D669" s="5"/>
      <c r="E669" s="5"/>
      <c r="F669" s="4"/>
      <c r="G669" s="5"/>
      <c r="H669" s="5"/>
      <c r="I669" s="5"/>
      <c r="J669" s="5"/>
    </row>
    <row r="670">
      <c r="A670" s="13"/>
      <c r="B670" s="5"/>
      <c r="C670" s="5"/>
      <c r="D670" s="5"/>
      <c r="E670" s="5"/>
      <c r="F670" s="4"/>
      <c r="G670" s="5"/>
      <c r="H670" s="5"/>
      <c r="I670" s="5"/>
      <c r="J670" s="5"/>
    </row>
    <row r="671">
      <c r="A671" s="13"/>
      <c r="B671" s="5"/>
      <c r="C671" s="5"/>
      <c r="D671" s="5"/>
      <c r="E671" s="5"/>
      <c r="F671" s="4"/>
      <c r="G671" s="5"/>
      <c r="H671" s="5"/>
      <c r="I671" s="5"/>
      <c r="J671" s="5"/>
    </row>
    <row r="672">
      <c r="A672" s="13"/>
      <c r="B672" s="5"/>
      <c r="C672" s="5"/>
      <c r="D672" s="5"/>
      <c r="E672" s="5"/>
      <c r="F672" s="4"/>
      <c r="G672" s="5"/>
      <c r="H672" s="5"/>
      <c r="I672" s="5"/>
      <c r="J672" s="5"/>
    </row>
    <row r="673">
      <c r="A673" s="13"/>
      <c r="B673" s="5"/>
      <c r="C673" s="5"/>
      <c r="D673" s="5"/>
      <c r="E673" s="5"/>
      <c r="F673" s="4"/>
      <c r="G673" s="5"/>
      <c r="H673" s="5"/>
      <c r="I673" s="5"/>
      <c r="J673" s="5"/>
    </row>
    <row r="674">
      <c r="A674" s="13"/>
      <c r="B674" s="5"/>
      <c r="C674" s="5"/>
      <c r="D674" s="5"/>
      <c r="E674" s="5"/>
      <c r="F674" s="4"/>
      <c r="G674" s="5"/>
      <c r="H674" s="5"/>
      <c r="I674" s="5"/>
      <c r="J674" s="5"/>
    </row>
    <row r="675">
      <c r="A675" s="13"/>
      <c r="B675" s="5"/>
      <c r="C675" s="5"/>
      <c r="D675" s="5"/>
      <c r="E675" s="5"/>
      <c r="F675" s="4"/>
      <c r="G675" s="5"/>
      <c r="H675" s="5"/>
      <c r="I675" s="5"/>
      <c r="J675" s="5"/>
    </row>
    <row r="676">
      <c r="A676" s="13"/>
      <c r="B676" s="5"/>
      <c r="C676" s="5"/>
      <c r="D676" s="5"/>
      <c r="E676" s="5"/>
      <c r="F676" s="4"/>
      <c r="G676" s="5"/>
      <c r="H676" s="5"/>
      <c r="I676" s="5"/>
      <c r="J676" s="5"/>
    </row>
    <row r="677">
      <c r="A677" s="13"/>
      <c r="B677" s="5"/>
      <c r="C677" s="5"/>
      <c r="D677" s="5"/>
      <c r="E677" s="5"/>
      <c r="F677" s="4"/>
      <c r="G677" s="5"/>
      <c r="H677" s="5"/>
      <c r="I677" s="5"/>
      <c r="J677" s="5"/>
    </row>
    <row r="678">
      <c r="A678" s="13"/>
      <c r="B678" s="5"/>
      <c r="C678" s="5"/>
      <c r="D678" s="5"/>
      <c r="E678" s="5"/>
      <c r="F678" s="4"/>
      <c r="G678" s="5"/>
      <c r="H678" s="5"/>
      <c r="I678" s="5"/>
      <c r="J678" s="5"/>
    </row>
    <row r="679">
      <c r="A679" s="13"/>
      <c r="B679" s="5"/>
      <c r="C679" s="5"/>
      <c r="D679" s="5"/>
      <c r="E679" s="5"/>
      <c r="F679" s="4"/>
      <c r="G679" s="5"/>
      <c r="H679" s="5"/>
      <c r="I679" s="5"/>
      <c r="J679" s="5"/>
    </row>
    <row r="680">
      <c r="A680" s="13"/>
      <c r="B680" s="5"/>
      <c r="C680" s="5"/>
      <c r="D680" s="5"/>
      <c r="E680" s="5"/>
      <c r="F680" s="4"/>
      <c r="G680" s="5"/>
      <c r="H680" s="5"/>
      <c r="I680" s="5"/>
      <c r="J680" s="5"/>
    </row>
    <row r="681">
      <c r="A681" s="13"/>
      <c r="B681" s="5"/>
      <c r="C681" s="5"/>
      <c r="D681" s="5"/>
      <c r="E681" s="5"/>
      <c r="F681" s="4"/>
      <c r="G681" s="5"/>
      <c r="H681" s="5"/>
      <c r="I681" s="5"/>
      <c r="J681" s="5"/>
    </row>
    <row r="682">
      <c r="A682" s="13"/>
      <c r="B682" s="5"/>
      <c r="C682" s="5"/>
      <c r="D682" s="5"/>
      <c r="E682" s="5"/>
      <c r="F682" s="4"/>
      <c r="G682" s="5"/>
      <c r="H682" s="5"/>
      <c r="I682" s="5"/>
      <c r="J682" s="5"/>
    </row>
    <row r="683">
      <c r="A683" s="13"/>
      <c r="B683" s="5"/>
      <c r="C683" s="5"/>
      <c r="D683" s="5"/>
      <c r="E683" s="5"/>
      <c r="F683" s="4"/>
      <c r="G683" s="5"/>
      <c r="H683" s="5"/>
      <c r="I683" s="5"/>
      <c r="J683" s="5"/>
    </row>
    <row r="684">
      <c r="A684" s="13"/>
      <c r="B684" s="5"/>
      <c r="C684" s="5"/>
      <c r="D684" s="5"/>
      <c r="E684" s="5"/>
      <c r="F684" s="4"/>
      <c r="G684" s="5"/>
      <c r="H684" s="5"/>
      <c r="I684" s="5"/>
      <c r="J684" s="5"/>
    </row>
    <row r="685">
      <c r="A685" s="13"/>
      <c r="B685" s="5"/>
      <c r="C685" s="5"/>
      <c r="D685" s="5"/>
      <c r="E685" s="5"/>
      <c r="F685" s="4"/>
      <c r="G685" s="5"/>
      <c r="H685" s="5"/>
      <c r="I685" s="5"/>
      <c r="J685" s="5"/>
    </row>
    <row r="686">
      <c r="A686" s="13"/>
      <c r="B686" s="5"/>
      <c r="C686" s="5"/>
      <c r="D686" s="5"/>
      <c r="E686" s="5"/>
      <c r="F686" s="4"/>
      <c r="G686" s="5"/>
      <c r="H686" s="5"/>
      <c r="I686" s="5"/>
      <c r="J686" s="5"/>
    </row>
    <row r="687">
      <c r="A687" s="13"/>
      <c r="B687" s="5"/>
      <c r="C687" s="5"/>
      <c r="D687" s="5"/>
      <c r="E687" s="5"/>
      <c r="F687" s="4"/>
      <c r="G687" s="5"/>
      <c r="H687" s="5"/>
      <c r="I687" s="5"/>
      <c r="J687" s="5"/>
    </row>
    <row r="688">
      <c r="A688" s="13"/>
      <c r="B688" s="5"/>
      <c r="C688" s="5"/>
      <c r="D688" s="5"/>
      <c r="E688" s="5"/>
      <c r="F688" s="4"/>
      <c r="G688" s="5"/>
      <c r="H688" s="5"/>
      <c r="I688" s="5"/>
      <c r="J688" s="5"/>
    </row>
    <row r="689">
      <c r="A689" s="13"/>
      <c r="B689" s="5"/>
      <c r="C689" s="5"/>
      <c r="D689" s="5"/>
      <c r="E689" s="5"/>
      <c r="F689" s="4"/>
      <c r="G689" s="5"/>
      <c r="H689" s="5"/>
      <c r="I689" s="5"/>
      <c r="J689" s="5"/>
    </row>
    <row r="690">
      <c r="A690" s="13"/>
      <c r="B690" s="5"/>
      <c r="C690" s="5"/>
      <c r="D690" s="5"/>
      <c r="E690" s="5"/>
      <c r="F690" s="4"/>
      <c r="G690" s="5"/>
      <c r="H690" s="5"/>
      <c r="I690" s="5"/>
      <c r="J690" s="5"/>
    </row>
    <row r="691">
      <c r="A691" s="13"/>
      <c r="B691" s="5"/>
      <c r="C691" s="5"/>
      <c r="D691" s="5"/>
      <c r="E691" s="5"/>
      <c r="F691" s="4"/>
      <c r="G691" s="5"/>
      <c r="H691" s="5"/>
      <c r="I691" s="5"/>
      <c r="J691" s="5"/>
    </row>
    <row r="692">
      <c r="A692" s="13"/>
      <c r="B692" s="5"/>
      <c r="C692" s="5"/>
      <c r="D692" s="5"/>
      <c r="E692" s="5"/>
      <c r="F692" s="4"/>
      <c r="G692" s="5"/>
      <c r="H692" s="5"/>
      <c r="I692" s="5"/>
      <c r="J692" s="5"/>
    </row>
    <row r="693">
      <c r="A693" s="13"/>
      <c r="B693" s="5"/>
      <c r="C693" s="5"/>
      <c r="D693" s="5"/>
      <c r="E693" s="5"/>
      <c r="F693" s="4"/>
      <c r="G693" s="5"/>
      <c r="H693" s="5"/>
      <c r="I693" s="5"/>
      <c r="J693" s="5"/>
    </row>
    <row r="694">
      <c r="A694" s="13"/>
      <c r="B694" s="5"/>
      <c r="C694" s="5"/>
      <c r="D694" s="5"/>
      <c r="E694" s="5"/>
      <c r="F694" s="4"/>
      <c r="G694" s="5"/>
      <c r="H694" s="5"/>
      <c r="I694" s="5"/>
      <c r="J694" s="5"/>
    </row>
    <row r="695">
      <c r="A695" s="13"/>
      <c r="B695" s="5"/>
      <c r="C695" s="5"/>
      <c r="D695" s="5"/>
      <c r="E695" s="5"/>
      <c r="F695" s="4"/>
      <c r="G695" s="5"/>
      <c r="H695" s="5"/>
      <c r="I695" s="5"/>
      <c r="J695" s="5"/>
    </row>
    <row r="696">
      <c r="A696" s="13"/>
      <c r="B696" s="5"/>
      <c r="C696" s="5"/>
      <c r="D696" s="5"/>
      <c r="E696" s="5"/>
      <c r="F696" s="4"/>
      <c r="G696" s="5"/>
      <c r="H696" s="5"/>
      <c r="I696" s="5"/>
      <c r="J696" s="5"/>
    </row>
    <row r="697">
      <c r="A697" s="13"/>
      <c r="B697" s="5"/>
      <c r="C697" s="5"/>
      <c r="D697" s="5"/>
      <c r="E697" s="5"/>
      <c r="F697" s="4"/>
      <c r="G697" s="5"/>
      <c r="H697" s="5"/>
      <c r="I697" s="5"/>
      <c r="J697" s="5"/>
    </row>
    <row r="698">
      <c r="A698" s="13"/>
      <c r="B698" s="5"/>
      <c r="C698" s="5"/>
      <c r="D698" s="5"/>
      <c r="E698" s="5"/>
      <c r="F698" s="4"/>
      <c r="G698" s="5"/>
      <c r="H698" s="5"/>
      <c r="I698" s="5"/>
      <c r="J698" s="5"/>
    </row>
    <row r="699">
      <c r="A699" s="13"/>
      <c r="B699" s="5"/>
      <c r="C699" s="5"/>
      <c r="D699" s="5"/>
      <c r="E699" s="5"/>
      <c r="F699" s="4"/>
      <c r="G699" s="5"/>
      <c r="H699" s="5"/>
      <c r="I699" s="5"/>
      <c r="J699" s="5"/>
    </row>
    <row r="700">
      <c r="A700" s="13"/>
      <c r="B700" s="5"/>
      <c r="C700" s="5"/>
      <c r="D700" s="5"/>
      <c r="E700" s="5"/>
      <c r="F700" s="4"/>
      <c r="G700" s="5"/>
      <c r="H700" s="5"/>
      <c r="I700" s="5"/>
      <c r="J700" s="5"/>
    </row>
    <row r="701">
      <c r="A701" s="13"/>
      <c r="B701" s="5"/>
      <c r="C701" s="5"/>
      <c r="D701" s="5"/>
      <c r="E701" s="5"/>
      <c r="F701" s="4"/>
      <c r="G701" s="5"/>
      <c r="H701" s="5"/>
      <c r="I701" s="5"/>
      <c r="J701" s="5"/>
    </row>
    <row r="702">
      <c r="A702" s="13"/>
      <c r="B702" s="5"/>
      <c r="C702" s="5"/>
      <c r="D702" s="5"/>
      <c r="E702" s="5"/>
      <c r="F702" s="4"/>
      <c r="G702" s="5"/>
      <c r="H702" s="5"/>
      <c r="I702" s="5"/>
      <c r="J702" s="5"/>
    </row>
    <row r="703">
      <c r="A703" s="13"/>
      <c r="B703" s="5"/>
      <c r="C703" s="5"/>
      <c r="D703" s="5"/>
      <c r="E703" s="5"/>
      <c r="F703" s="4"/>
      <c r="G703" s="5"/>
      <c r="H703" s="5"/>
      <c r="I703" s="5"/>
      <c r="J703" s="5"/>
    </row>
    <row r="704">
      <c r="A704" s="13"/>
      <c r="B704" s="5"/>
      <c r="C704" s="5"/>
      <c r="D704" s="5"/>
      <c r="E704" s="5"/>
      <c r="F704" s="4"/>
      <c r="G704" s="5"/>
      <c r="H704" s="5"/>
      <c r="I704" s="5"/>
      <c r="J704" s="5"/>
    </row>
    <row r="705">
      <c r="A705" s="13"/>
      <c r="B705" s="5"/>
      <c r="C705" s="5"/>
      <c r="D705" s="5"/>
      <c r="E705" s="5"/>
      <c r="F705" s="4"/>
      <c r="G705" s="5"/>
      <c r="H705" s="5"/>
      <c r="I705" s="5"/>
      <c r="J705" s="5"/>
    </row>
    <row r="706">
      <c r="A706" s="13"/>
      <c r="B706" s="5"/>
      <c r="C706" s="5"/>
      <c r="D706" s="5"/>
      <c r="E706" s="5"/>
      <c r="F706" s="4"/>
      <c r="G706" s="5"/>
      <c r="H706" s="5"/>
      <c r="I706" s="5"/>
      <c r="J706" s="5"/>
    </row>
    <row r="707">
      <c r="A707" s="13"/>
      <c r="B707" s="5"/>
      <c r="C707" s="5"/>
      <c r="D707" s="5"/>
      <c r="E707" s="5"/>
      <c r="F707" s="4"/>
      <c r="G707" s="5"/>
      <c r="H707" s="5"/>
      <c r="I707" s="5"/>
      <c r="J707" s="5"/>
    </row>
    <row r="708">
      <c r="A708" s="13"/>
      <c r="B708" s="5"/>
      <c r="C708" s="5"/>
      <c r="D708" s="5"/>
      <c r="E708" s="5"/>
      <c r="F708" s="4"/>
      <c r="G708" s="5"/>
      <c r="H708" s="5"/>
      <c r="I708" s="5"/>
      <c r="J708" s="5"/>
    </row>
    <row r="709">
      <c r="A709" s="13"/>
      <c r="B709" s="5"/>
      <c r="C709" s="5"/>
      <c r="D709" s="5"/>
      <c r="E709" s="5"/>
      <c r="F709" s="4"/>
      <c r="G709" s="5"/>
      <c r="H709" s="5"/>
      <c r="I709" s="5"/>
      <c r="J709" s="5"/>
    </row>
    <row r="710">
      <c r="A710" s="13"/>
      <c r="B710" s="5"/>
      <c r="C710" s="5"/>
      <c r="D710" s="5"/>
      <c r="E710" s="5"/>
      <c r="F710" s="4"/>
      <c r="G710" s="5"/>
      <c r="H710" s="5"/>
      <c r="I710" s="5"/>
      <c r="J710" s="5"/>
    </row>
    <row r="711">
      <c r="A711" s="13"/>
      <c r="B711" s="5"/>
      <c r="C711" s="5"/>
      <c r="D711" s="5"/>
      <c r="E711" s="5"/>
      <c r="F711" s="4"/>
      <c r="G711" s="5"/>
      <c r="H711" s="5"/>
      <c r="I711" s="5"/>
      <c r="J711" s="5"/>
    </row>
    <row r="712">
      <c r="A712" s="13"/>
      <c r="B712" s="5"/>
      <c r="C712" s="5"/>
      <c r="D712" s="5"/>
      <c r="E712" s="5"/>
      <c r="F712" s="4"/>
      <c r="G712" s="5"/>
      <c r="H712" s="5"/>
      <c r="I712" s="5"/>
      <c r="J712" s="5"/>
    </row>
    <row r="713">
      <c r="A713" s="13"/>
      <c r="B713" s="5"/>
      <c r="C713" s="5"/>
      <c r="D713" s="5"/>
      <c r="E713" s="5"/>
      <c r="F713" s="4"/>
      <c r="G713" s="5"/>
      <c r="H713" s="5"/>
      <c r="I713" s="5"/>
      <c r="J713" s="5"/>
    </row>
    <row r="714">
      <c r="A714" s="13"/>
      <c r="B714" s="5"/>
      <c r="C714" s="5"/>
      <c r="D714" s="5"/>
      <c r="E714" s="5"/>
      <c r="F714" s="4"/>
      <c r="G714" s="5"/>
      <c r="H714" s="5"/>
      <c r="I714" s="5"/>
      <c r="J714" s="5"/>
    </row>
    <row r="715">
      <c r="A715" s="13"/>
      <c r="B715" s="5"/>
      <c r="C715" s="5"/>
      <c r="D715" s="5"/>
      <c r="E715" s="5"/>
      <c r="F715" s="4"/>
      <c r="G715" s="5"/>
      <c r="H715" s="5"/>
      <c r="I715" s="5"/>
      <c r="J715" s="5"/>
    </row>
    <row r="716">
      <c r="A716" s="13"/>
      <c r="B716" s="5"/>
      <c r="C716" s="5"/>
      <c r="D716" s="5"/>
      <c r="E716" s="5"/>
      <c r="F716" s="4"/>
      <c r="G716" s="5"/>
      <c r="H716" s="5"/>
      <c r="I716" s="5"/>
      <c r="J716" s="5"/>
    </row>
    <row r="717">
      <c r="A717" s="13"/>
      <c r="B717" s="5"/>
      <c r="C717" s="5"/>
      <c r="D717" s="5"/>
      <c r="E717" s="5"/>
      <c r="F717" s="4"/>
      <c r="G717" s="5"/>
      <c r="H717" s="5"/>
      <c r="I717" s="5"/>
      <c r="J717" s="5"/>
    </row>
    <row r="718">
      <c r="A718" s="13"/>
      <c r="B718" s="5"/>
      <c r="C718" s="5"/>
      <c r="D718" s="5"/>
      <c r="E718" s="5"/>
      <c r="F718" s="4"/>
      <c r="G718" s="5"/>
      <c r="H718" s="5"/>
      <c r="I718" s="5"/>
      <c r="J718" s="5"/>
    </row>
    <row r="719">
      <c r="A719" s="13"/>
      <c r="B719" s="5"/>
      <c r="C719" s="5"/>
      <c r="D719" s="5"/>
      <c r="E719" s="5"/>
      <c r="F719" s="4"/>
      <c r="G719" s="5"/>
      <c r="H719" s="5"/>
      <c r="I719" s="5"/>
      <c r="J719" s="5"/>
    </row>
    <row r="720">
      <c r="A720" s="13"/>
      <c r="B720" s="5"/>
      <c r="C720" s="5"/>
      <c r="D720" s="5"/>
      <c r="E720" s="5"/>
      <c r="F720" s="4"/>
      <c r="G720" s="5"/>
      <c r="H720" s="5"/>
      <c r="I720" s="5"/>
      <c r="J720" s="5"/>
    </row>
    <row r="721">
      <c r="A721" s="13"/>
      <c r="B721" s="5"/>
      <c r="C721" s="5"/>
      <c r="D721" s="5"/>
      <c r="E721" s="5"/>
      <c r="F721" s="4"/>
      <c r="G721" s="5"/>
      <c r="H721" s="5"/>
      <c r="I721" s="5"/>
      <c r="J721" s="5"/>
    </row>
    <row r="722">
      <c r="A722" s="13"/>
      <c r="B722" s="5"/>
      <c r="C722" s="5"/>
      <c r="D722" s="5"/>
      <c r="E722" s="5"/>
      <c r="F722" s="4"/>
      <c r="G722" s="5"/>
      <c r="H722" s="5"/>
      <c r="I722" s="5"/>
      <c r="J722" s="5"/>
    </row>
    <row r="723">
      <c r="A723" s="13"/>
      <c r="B723" s="5"/>
      <c r="C723" s="5"/>
      <c r="D723" s="5"/>
      <c r="E723" s="5"/>
      <c r="F723" s="4"/>
      <c r="G723" s="5"/>
      <c r="H723" s="5"/>
      <c r="I723" s="5"/>
      <c r="J723" s="5"/>
    </row>
    <row r="724">
      <c r="A724" s="13"/>
      <c r="B724" s="5"/>
      <c r="C724" s="5"/>
      <c r="D724" s="5"/>
      <c r="E724" s="5"/>
      <c r="F724" s="4"/>
      <c r="G724" s="5"/>
      <c r="H724" s="5"/>
      <c r="I724" s="5"/>
      <c r="J724" s="5"/>
    </row>
    <row r="725">
      <c r="A725" s="13"/>
      <c r="B725" s="5"/>
      <c r="C725" s="5"/>
      <c r="D725" s="5"/>
      <c r="E725" s="5"/>
      <c r="F725" s="4"/>
      <c r="G725" s="5"/>
      <c r="H725" s="5"/>
      <c r="I725" s="5"/>
      <c r="J725" s="5"/>
    </row>
    <row r="726">
      <c r="A726" s="13"/>
      <c r="B726" s="5"/>
      <c r="C726" s="5"/>
      <c r="D726" s="5"/>
      <c r="E726" s="5"/>
      <c r="F726" s="4"/>
      <c r="G726" s="5"/>
      <c r="H726" s="5"/>
      <c r="I726" s="5"/>
      <c r="J726" s="5"/>
    </row>
    <row r="727">
      <c r="A727" s="13"/>
      <c r="B727" s="5"/>
      <c r="C727" s="5"/>
      <c r="D727" s="5"/>
      <c r="E727" s="5"/>
      <c r="F727" s="4"/>
      <c r="G727" s="5"/>
      <c r="H727" s="5"/>
      <c r="I727" s="5"/>
      <c r="J727" s="5"/>
    </row>
    <row r="728">
      <c r="A728" s="13"/>
      <c r="B728" s="5"/>
      <c r="C728" s="5"/>
      <c r="D728" s="5"/>
      <c r="E728" s="5"/>
      <c r="F728" s="4"/>
      <c r="G728" s="5"/>
      <c r="H728" s="5"/>
      <c r="I728" s="5"/>
      <c r="J728" s="5"/>
    </row>
    <row r="729">
      <c r="A729" s="13"/>
      <c r="B729" s="5"/>
      <c r="C729" s="5"/>
      <c r="D729" s="5"/>
      <c r="E729" s="5"/>
      <c r="F729" s="4"/>
      <c r="G729" s="5"/>
      <c r="H729" s="5"/>
      <c r="I729" s="5"/>
      <c r="J729" s="5"/>
    </row>
    <row r="730">
      <c r="A730" s="13"/>
      <c r="B730" s="5"/>
      <c r="C730" s="5"/>
      <c r="D730" s="5"/>
      <c r="E730" s="5"/>
      <c r="F730" s="4"/>
      <c r="G730" s="5"/>
      <c r="H730" s="5"/>
      <c r="I730" s="5"/>
      <c r="J730" s="5"/>
    </row>
    <row r="731">
      <c r="A731" s="13"/>
      <c r="B731" s="5"/>
      <c r="C731" s="5"/>
      <c r="D731" s="5"/>
      <c r="E731" s="5"/>
      <c r="F731" s="4"/>
      <c r="G731" s="5"/>
      <c r="H731" s="5"/>
      <c r="I731" s="5"/>
      <c r="J731" s="5"/>
    </row>
    <row r="732">
      <c r="A732" s="13"/>
      <c r="B732" s="5"/>
      <c r="C732" s="5"/>
      <c r="D732" s="5"/>
      <c r="E732" s="5"/>
      <c r="F732" s="4"/>
      <c r="G732" s="5"/>
      <c r="H732" s="5"/>
      <c r="I732" s="5"/>
      <c r="J732" s="5"/>
    </row>
    <row r="733">
      <c r="A733" s="13"/>
      <c r="B733" s="5"/>
      <c r="C733" s="5"/>
      <c r="D733" s="5"/>
      <c r="E733" s="5"/>
      <c r="F733" s="4"/>
      <c r="G733" s="5"/>
      <c r="H733" s="5"/>
      <c r="I733" s="5"/>
      <c r="J733" s="5"/>
    </row>
    <row r="734">
      <c r="A734" s="13"/>
      <c r="B734" s="5"/>
      <c r="C734" s="5"/>
      <c r="D734" s="5"/>
      <c r="E734" s="5"/>
      <c r="F734" s="4"/>
      <c r="G734" s="5"/>
      <c r="H734" s="5"/>
      <c r="I734" s="5"/>
      <c r="J734" s="5"/>
    </row>
    <row r="735">
      <c r="A735" s="13"/>
      <c r="B735" s="5"/>
      <c r="C735" s="5"/>
      <c r="D735" s="5"/>
      <c r="E735" s="5"/>
      <c r="F735" s="4"/>
      <c r="G735" s="5"/>
      <c r="H735" s="5"/>
      <c r="I735" s="5"/>
      <c r="J735" s="5"/>
    </row>
    <row r="736">
      <c r="A736" s="13"/>
      <c r="B736" s="5"/>
      <c r="C736" s="5"/>
      <c r="D736" s="5"/>
      <c r="E736" s="5"/>
      <c r="F736" s="4"/>
      <c r="G736" s="5"/>
      <c r="H736" s="5"/>
      <c r="I736" s="5"/>
      <c r="J736" s="5"/>
    </row>
    <row r="737">
      <c r="A737" s="13"/>
      <c r="B737" s="5"/>
      <c r="C737" s="5"/>
      <c r="D737" s="5"/>
      <c r="E737" s="5"/>
      <c r="F737" s="4"/>
      <c r="G737" s="5"/>
      <c r="H737" s="5"/>
      <c r="I737" s="5"/>
      <c r="J737" s="5"/>
    </row>
    <row r="738">
      <c r="A738" s="13"/>
      <c r="B738" s="5"/>
      <c r="C738" s="5"/>
      <c r="D738" s="5"/>
      <c r="E738" s="5"/>
      <c r="F738" s="4"/>
      <c r="G738" s="5"/>
      <c r="H738" s="5"/>
      <c r="I738" s="5"/>
      <c r="J738" s="5"/>
    </row>
    <row r="739">
      <c r="A739" s="13"/>
      <c r="B739" s="5"/>
      <c r="C739" s="5"/>
      <c r="D739" s="5"/>
      <c r="E739" s="5"/>
      <c r="F739" s="4"/>
      <c r="G739" s="5"/>
      <c r="H739" s="5"/>
      <c r="I739" s="5"/>
      <c r="J739" s="5"/>
    </row>
    <row r="740">
      <c r="A740" s="13"/>
      <c r="B740" s="5"/>
      <c r="C740" s="5"/>
      <c r="D740" s="5"/>
      <c r="E740" s="5"/>
      <c r="F740" s="4"/>
      <c r="G740" s="5"/>
      <c r="H740" s="5"/>
      <c r="I740" s="5"/>
      <c r="J740" s="5"/>
    </row>
    <row r="741">
      <c r="A741" s="13"/>
      <c r="B741" s="5"/>
      <c r="C741" s="5"/>
      <c r="D741" s="5"/>
      <c r="E741" s="5"/>
      <c r="F741" s="4"/>
      <c r="G741" s="5"/>
      <c r="H741" s="5"/>
      <c r="I741" s="5"/>
      <c r="J741" s="5"/>
    </row>
    <row r="742">
      <c r="A742" s="13"/>
      <c r="B742" s="5"/>
      <c r="C742" s="5"/>
      <c r="D742" s="5"/>
      <c r="E742" s="5"/>
      <c r="F742" s="4"/>
      <c r="G742" s="5"/>
      <c r="H742" s="5"/>
      <c r="I742" s="5"/>
      <c r="J742" s="5"/>
    </row>
    <row r="743">
      <c r="A743" s="13"/>
      <c r="B743" s="5"/>
      <c r="C743" s="5"/>
      <c r="D743" s="5"/>
      <c r="E743" s="5"/>
      <c r="F743" s="4"/>
      <c r="G743" s="5"/>
      <c r="H743" s="5"/>
      <c r="I743" s="5"/>
      <c r="J743" s="5"/>
    </row>
    <row r="744">
      <c r="A744" s="13"/>
      <c r="B744" s="5"/>
      <c r="C744" s="5"/>
      <c r="D744" s="5"/>
      <c r="E744" s="5"/>
      <c r="F744" s="4"/>
      <c r="G744" s="5"/>
      <c r="H744" s="5"/>
      <c r="I744" s="5"/>
      <c r="J744" s="5"/>
    </row>
    <row r="745">
      <c r="A745" s="13"/>
      <c r="B745" s="5"/>
      <c r="C745" s="5"/>
      <c r="D745" s="5"/>
      <c r="E745" s="5"/>
      <c r="F745" s="4"/>
      <c r="G745" s="5"/>
      <c r="H745" s="5"/>
      <c r="I745" s="5"/>
      <c r="J745" s="5"/>
    </row>
    <row r="746">
      <c r="A746" s="13"/>
      <c r="B746" s="5"/>
      <c r="C746" s="5"/>
      <c r="D746" s="5"/>
      <c r="E746" s="5"/>
      <c r="F746" s="4"/>
      <c r="G746" s="5"/>
      <c r="H746" s="5"/>
      <c r="I746" s="5"/>
      <c r="J746" s="5"/>
    </row>
    <row r="747">
      <c r="A747" s="13"/>
      <c r="B747" s="5"/>
      <c r="C747" s="5"/>
      <c r="D747" s="5"/>
      <c r="E747" s="5"/>
      <c r="F747" s="4"/>
      <c r="G747" s="5"/>
      <c r="H747" s="5"/>
      <c r="I747" s="5"/>
      <c r="J747" s="5"/>
    </row>
    <row r="748">
      <c r="A748" s="13"/>
      <c r="B748" s="5"/>
      <c r="C748" s="5"/>
      <c r="D748" s="5"/>
      <c r="E748" s="5"/>
      <c r="F748" s="4"/>
      <c r="G748" s="5"/>
      <c r="H748" s="5"/>
      <c r="I748" s="5"/>
      <c r="J748" s="5"/>
    </row>
    <row r="749">
      <c r="A749" s="13"/>
      <c r="B749" s="5"/>
      <c r="C749" s="5"/>
      <c r="D749" s="5"/>
      <c r="E749" s="5"/>
      <c r="F749" s="4"/>
      <c r="G749" s="5"/>
      <c r="H749" s="5"/>
      <c r="I749" s="5"/>
      <c r="J749" s="5"/>
    </row>
    <row r="750">
      <c r="A750" s="13"/>
      <c r="B750" s="5"/>
      <c r="C750" s="5"/>
      <c r="D750" s="5"/>
      <c r="E750" s="5"/>
      <c r="F750" s="4"/>
      <c r="G750" s="5"/>
      <c r="H750" s="5"/>
      <c r="I750" s="5"/>
      <c r="J750" s="5"/>
    </row>
    <row r="751">
      <c r="A751" s="13"/>
      <c r="B751" s="5"/>
      <c r="C751" s="5"/>
      <c r="D751" s="5"/>
      <c r="E751" s="5"/>
      <c r="F751" s="4"/>
      <c r="G751" s="5"/>
      <c r="H751" s="5"/>
      <c r="I751" s="5"/>
      <c r="J751" s="5"/>
    </row>
    <row r="752">
      <c r="A752" s="13"/>
      <c r="B752" s="5"/>
      <c r="C752" s="5"/>
      <c r="D752" s="5"/>
      <c r="E752" s="5"/>
      <c r="F752" s="4"/>
      <c r="G752" s="5"/>
      <c r="H752" s="5"/>
      <c r="I752" s="5"/>
      <c r="J752" s="5"/>
    </row>
    <row r="753">
      <c r="A753" s="13"/>
      <c r="B753" s="5"/>
      <c r="C753" s="5"/>
      <c r="D753" s="5"/>
      <c r="E753" s="5"/>
      <c r="F753" s="4"/>
      <c r="G753" s="5"/>
      <c r="H753" s="5"/>
      <c r="I753" s="5"/>
      <c r="J753" s="5"/>
    </row>
    <row r="754">
      <c r="A754" s="13"/>
      <c r="B754" s="5"/>
      <c r="C754" s="5"/>
      <c r="D754" s="5"/>
      <c r="E754" s="5"/>
      <c r="F754" s="4"/>
      <c r="G754" s="5"/>
      <c r="H754" s="5"/>
      <c r="I754" s="5"/>
      <c r="J754" s="5"/>
    </row>
    <row r="755">
      <c r="A755" s="13"/>
      <c r="B755" s="5"/>
      <c r="C755" s="5"/>
      <c r="D755" s="5"/>
      <c r="E755" s="5"/>
      <c r="F755" s="4"/>
      <c r="G755" s="5"/>
      <c r="H755" s="5"/>
      <c r="I755" s="5"/>
      <c r="J755" s="5"/>
    </row>
    <row r="756">
      <c r="A756" s="13"/>
      <c r="B756" s="5"/>
      <c r="C756" s="5"/>
      <c r="D756" s="5"/>
      <c r="E756" s="5"/>
      <c r="F756" s="4"/>
      <c r="G756" s="5"/>
      <c r="H756" s="5"/>
      <c r="I756" s="5"/>
      <c r="J756" s="5"/>
    </row>
    <row r="757">
      <c r="A757" s="13"/>
      <c r="B757" s="5"/>
      <c r="C757" s="5"/>
      <c r="D757" s="5"/>
      <c r="E757" s="5"/>
      <c r="F757" s="4"/>
      <c r="G757" s="5"/>
      <c r="H757" s="5"/>
      <c r="I757" s="5"/>
      <c r="J757" s="5"/>
    </row>
    <row r="758">
      <c r="A758" s="13"/>
      <c r="B758" s="5"/>
      <c r="C758" s="5"/>
      <c r="D758" s="5"/>
      <c r="E758" s="5"/>
      <c r="F758" s="4"/>
      <c r="G758" s="5"/>
      <c r="H758" s="5"/>
      <c r="I758" s="5"/>
      <c r="J758" s="5"/>
    </row>
    <row r="759">
      <c r="A759" s="13"/>
      <c r="B759" s="5"/>
      <c r="C759" s="5"/>
      <c r="D759" s="5"/>
      <c r="E759" s="5"/>
      <c r="F759" s="4"/>
      <c r="G759" s="5"/>
      <c r="H759" s="5"/>
      <c r="I759" s="5"/>
      <c r="J759" s="5"/>
    </row>
    <row r="760">
      <c r="A760" s="13"/>
      <c r="B760" s="5"/>
      <c r="C760" s="5"/>
      <c r="D760" s="5"/>
      <c r="E760" s="5"/>
      <c r="F760" s="4"/>
      <c r="G760" s="5"/>
      <c r="H760" s="5"/>
      <c r="I760" s="5"/>
      <c r="J760" s="5"/>
    </row>
    <row r="761">
      <c r="A761" s="13"/>
      <c r="B761" s="5"/>
      <c r="C761" s="5"/>
      <c r="D761" s="5"/>
      <c r="E761" s="5"/>
      <c r="F761" s="4"/>
      <c r="G761" s="5"/>
      <c r="H761" s="5"/>
      <c r="I761" s="5"/>
      <c r="J761" s="5"/>
    </row>
    <row r="762">
      <c r="A762" s="13"/>
      <c r="B762" s="5"/>
      <c r="C762" s="5"/>
      <c r="D762" s="5"/>
      <c r="E762" s="5"/>
      <c r="F762" s="4"/>
      <c r="G762" s="5"/>
      <c r="H762" s="5"/>
      <c r="I762" s="5"/>
      <c r="J762" s="5"/>
    </row>
    <row r="763">
      <c r="A763" s="13"/>
      <c r="B763" s="5"/>
      <c r="C763" s="5"/>
      <c r="D763" s="5"/>
      <c r="E763" s="5"/>
      <c r="F763" s="4"/>
      <c r="G763" s="5"/>
      <c r="H763" s="5"/>
      <c r="I763" s="5"/>
      <c r="J763" s="5"/>
    </row>
    <row r="764">
      <c r="A764" s="13"/>
      <c r="B764" s="5"/>
      <c r="C764" s="5"/>
      <c r="D764" s="5"/>
      <c r="E764" s="5"/>
      <c r="F764" s="4"/>
      <c r="G764" s="5"/>
      <c r="H764" s="5"/>
      <c r="I764" s="5"/>
      <c r="J764" s="5"/>
    </row>
    <row r="765">
      <c r="A765" s="13"/>
      <c r="B765" s="5"/>
      <c r="C765" s="5"/>
      <c r="D765" s="5"/>
      <c r="E765" s="5"/>
      <c r="F765" s="4"/>
      <c r="G765" s="5"/>
      <c r="H765" s="5"/>
      <c r="I765" s="5"/>
      <c r="J765" s="5"/>
    </row>
    <row r="766">
      <c r="A766" s="13"/>
      <c r="B766" s="5"/>
      <c r="C766" s="5"/>
      <c r="D766" s="5"/>
      <c r="E766" s="5"/>
      <c r="F766" s="4"/>
      <c r="G766" s="5"/>
      <c r="H766" s="5"/>
      <c r="I766" s="5"/>
      <c r="J766" s="5"/>
    </row>
    <row r="767">
      <c r="A767" s="13"/>
      <c r="B767" s="5"/>
      <c r="C767" s="5"/>
      <c r="D767" s="5"/>
      <c r="E767" s="5"/>
      <c r="F767" s="4"/>
      <c r="G767" s="5"/>
      <c r="H767" s="5"/>
      <c r="I767" s="5"/>
      <c r="J767" s="5"/>
    </row>
    <row r="768">
      <c r="A768" s="13"/>
      <c r="B768" s="5"/>
      <c r="C768" s="5"/>
      <c r="D768" s="5"/>
      <c r="E768" s="5"/>
      <c r="F768" s="4"/>
      <c r="G768" s="5"/>
      <c r="H768" s="5"/>
      <c r="I768" s="5"/>
      <c r="J768" s="5"/>
    </row>
    <row r="769">
      <c r="A769" s="13"/>
      <c r="B769" s="5"/>
      <c r="C769" s="5"/>
      <c r="D769" s="5"/>
      <c r="E769" s="5"/>
      <c r="F769" s="4"/>
      <c r="G769" s="5"/>
      <c r="H769" s="5"/>
      <c r="I769" s="5"/>
      <c r="J769" s="5"/>
    </row>
    <row r="770">
      <c r="A770" s="13"/>
      <c r="B770" s="5"/>
      <c r="C770" s="5"/>
      <c r="D770" s="5"/>
      <c r="E770" s="5"/>
      <c r="F770" s="4"/>
      <c r="G770" s="5"/>
      <c r="H770" s="5"/>
      <c r="I770" s="5"/>
      <c r="J770" s="5"/>
    </row>
    <row r="771">
      <c r="A771" s="13"/>
      <c r="B771" s="5"/>
      <c r="C771" s="5"/>
      <c r="D771" s="5"/>
      <c r="E771" s="5"/>
      <c r="F771" s="4"/>
      <c r="G771" s="5"/>
      <c r="H771" s="5"/>
      <c r="I771" s="5"/>
      <c r="J771" s="5"/>
    </row>
    <row r="772">
      <c r="A772" s="13"/>
      <c r="B772" s="5"/>
      <c r="C772" s="5"/>
      <c r="D772" s="5"/>
      <c r="E772" s="5"/>
      <c r="F772" s="4"/>
      <c r="G772" s="5"/>
      <c r="H772" s="5"/>
      <c r="I772" s="5"/>
      <c r="J772" s="5"/>
    </row>
    <row r="773">
      <c r="A773" s="13"/>
      <c r="B773" s="5"/>
      <c r="C773" s="5"/>
      <c r="D773" s="5"/>
      <c r="E773" s="5"/>
      <c r="F773" s="4"/>
      <c r="G773" s="5"/>
      <c r="H773" s="5"/>
      <c r="I773" s="5"/>
      <c r="J773" s="5"/>
    </row>
    <row r="774">
      <c r="A774" s="13"/>
      <c r="B774" s="5"/>
      <c r="C774" s="5"/>
      <c r="D774" s="5"/>
      <c r="E774" s="5"/>
      <c r="F774" s="4"/>
      <c r="G774" s="5"/>
      <c r="H774" s="5"/>
      <c r="I774" s="5"/>
      <c r="J774" s="5"/>
    </row>
    <row r="775">
      <c r="A775" s="13"/>
      <c r="B775" s="5"/>
      <c r="C775" s="5"/>
      <c r="D775" s="5"/>
      <c r="E775" s="5"/>
      <c r="F775" s="4"/>
      <c r="G775" s="5"/>
      <c r="H775" s="5"/>
      <c r="I775" s="5"/>
      <c r="J775" s="5"/>
    </row>
    <row r="776">
      <c r="A776" s="13"/>
      <c r="B776" s="5"/>
      <c r="C776" s="5"/>
      <c r="D776" s="5"/>
      <c r="E776" s="5"/>
      <c r="F776" s="4"/>
      <c r="G776" s="5"/>
      <c r="H776" s="5"/>
      <c r="I776" s="5"/>
      <c r="J776" s="5"/>
    </row>
    <row r="777">
      <c r="A777" s="13"/>
      <c r="B777" s="5"/>
      <c r="C777" s="5"/>
      <c r="D777" s="5"/>
      <c r="E777" s="5"/>
      <c r="F777" s="4"/>
      <c r="G777" s="5"/>
      <c r="H777" s="5"/>
      <c r="I777" s="5"/>
      <c r="J777" s="5"/>
    </row>
    <row r="778">
      <c r="A778" s="13"/>
      <c r="B778" s="5"/>
      <c r="C778" s="5"/>
      <c r="D778" s="5"/>
      <c r="E778" s="5"/>
      <c r="F778" s="4"/>
      <c r="G778" s="5"/>
      <c r="H778" s="5"/>
      <c r="I778" s="5"/>
      <c r="J778" s="5"/>
    </row>
    <row r="779">
      <c r="A779" s="13"/>
      <c r="B779" s="5"/>
      <c r="C779" s="5"/>
      <c r="D779" s="5"/>
      <c r="E779" s="5"/>
      <c r="F779" s="4"/>
      <c r="G779" s="5"/>
      <c r="H779" s="5"/>
      <c r="I779" s="5"/>
      <c r="J779" s="5"/>
    </row>
    <row r="780">
      <c r="A780" s="13"/>
      <c r="B780" s="5"/>
      <c r="C780" s="5"/>
      <c r="D780" s="5"/>
      <c r="E780" s="5"/>
      <c r="F780" s="4"/>
      <c r="G780" s="5"/>
      <c r="H780" s="5"/>
      <c r="I780" s="5"/>
      <c r="J780" s="5"/>
    </row>
    <row r="781">
      <c r="A781" s="13"/>
      <c r="B781" s="5"/>
      <c r="C781" s="5"/>
      <c r="D781" s="5"/>
      <c r="E781" s="5"/>
      <c r="F781" s="4"/>
      <c r="G781" s="5"/>
      <c r="H781" s="5"/>
      <c r="I781" s="5"/>
      <c r="J781" s="5"/>
    </row>
    <row r="782">
      <c r="A782" s="13"/>
      <c r="B782" s="5"/>
      <c r="C782" s="5"/>
      <c r="D782" s="5"/>
      <c r="E782" s="5"/>
      <c r="F782" s="4"/>
      <c r="G782" s="5"/>
      <c r="H782" s="5"/>
      <c r="I782" s="5"/>
      <c r="J782" s="5"/>
    </row>
    <row r="783">
      <c r="A783" s="13"/>
      <c r="B783" s="5"/>
      <c r="C783" s="5"/>
      <c r="D783" s="5"/>
      <c r="E783" s="5"/>
      <c r="F783" s="4"/>
      <c r="G783" s="5"/>
      <c r="H783" s="5"/>
      <c r="I783" s="5"/>
      <c r="J783" s="5"/>
    </row>
    <row r="784">
      <c r="A784" s="13"/>
      <c r="B784" s="5"/>
      <c r="C784" s="5"/>
      <c r="D784" s="5"/>
      <c r="E784" s="5"/>
      <c r="F784" s="4"/>
      <c r="G784" s="5"/>
      <c r="H784" s="5"/>
      <c r="I784" s="5"/>
      <c r="J784" s="5"/>
    </row>
    <row r="785">
      <c r="A785" s="13"/>
      <c r="B785" s="5"/>
      <c r="C785" s="5"/>
      <c r="D785" s="5"/>
      <c r="E785" s="5"/>
      <c r="F785" s="4"/>
      <c r="G785" s="5"/>
      <c r="H785" s="5"/>
      <c r="I785" s="5"/>
      <c r="J785" s="5"/>
    </row>
    <row r="786">
      <c r="A786" s="13"/>
      <c r="B786" s="5"/>
      <c r="C786" s="5"/>
      <c r="D786" s="5"/>
      <c r="E786" s="5"/>
      <c r="F786" s="4"/>
      <c r="G786" s="5"/>
      <c r="H786" s="5"/>
      <c r="I786" s="5"/>
      <c r="J786" s="5"/>
    </row>
    <row r="787">
      <c r="A787" s="13"/>
      <c r="B787" s="5"/>
      <c r="C787" s="5"/>
      <c r="D787" s="5"/>
      <c r="E787" s="5"/>
      <c r="F787" s="4"/>
      <c r="G787" s="5"/>
      <c r="H787" s="5"/>
      <c r="I787" s="5"/>
      <c r="J787" s="5"/>
    </row>
    <row r="788">
      <c r="A788" s="13"/>
      <c r="B788" s="5"/>
      <c r="C788" s="5"/>
      <c r="D788" s="5"/>
      <c r="E788" s="5"/>
      <c r="F788" s="4"/>
      <c r="G788" s="5"/>
      <c r="H788" s="5"/>
      <c r="I788" s="5"/>
      <c r="J788" s="5"/>
    </row>
    <row r="789">
      <c r="A789" s="13"/>
      <c r="B789" s="5"/>
      <c r="C789" s="5"/>
      <c r="D789" s="5"/>
      <c r="E789" s="5"/>
      <c r="F789" s="4"/>
      <c r="G789" s="5"/>
      <c r="H789" s="5"/>
      <c r="I789" s="5"/>
      <c r="J789" s="5"/>
    </row>
    <row r="790">
      <c r="A790" s="13"/>
      <c r="B790" s="5"/>
      <c r="C790" s="5"/>
      <c r="D790" s="5"/>
      <c r="E790" s="5"/>
      <c r="F790" s="4"/>
      <c r="G790" s="5"/>
      <c r="H790" s="5"/>
      <c r="I790" s="5"/>
      <c r="J790" s="5"/>
    </row>
    <row r="791">
      <c r="A791" s="13"/>
      <c r="B791" s="5"/>
      <c r="C791" s="5"/>
      <c r="D791" s="5"/>
      <c r="E791" s="5"/>
      <c r="F791" s="4"/>
      <c r="G791" s="5"/>
      <c r="H791" s="5"/>
      <c r="I791" s="5"/>
      <c r="J791" s="5"/>
    </row>
    <row r="792">
      <c r="A792" s="13"/>
      <c r="B792" s="5"/>
      <c r="C792" s="5"/>
      <c r="D792" s="5"/>
      <c r="E792" s="5"/>
      <c r="F792" s="4"/>
      <c r="G792" s="5"/>
      <c r="H792" s="5"/>
      <c r="I792" s="5"/>
      <c r="J792" s="5"/>
    </row>
    <row r="793">
      <c r="A793" s="13"/>
      <c r="B793" s="5"/>
      <c r="C793" s="5"/>
      <c r="D793" s="5"/>
      <c r="E793" s="5"/>
      <c r="F793" s="4"/>
      <c r="G793" s="5"/>
      <c r="H793" s="5"/>
      <c r="I793" s="5"/>
      <c r="J793" s="5"/>
    </row>
    <row r="794">
      <c r="A794" s="13"/>
      <c r="B794" s="5"/>
      <c r="C794" s="5"/>
      <c r="D794" s="5"/>
      <c r="E794" s="5"/>
      <c r="F794" s="4"/>
      <c r="G794" s="5"/>
      <c r="H794" s="5"/>
      <c r="I794" s="5"/>
      <c r="J794" s="5"/>
    </row>
    <row r="795">
      <c r="A795" s="13"/>
      <c r="B795" s="5"/>
      <c r="C795" s="5"/>
      <c r="D795" s="5"/>
      <c r="E795" s="5"/>
      <c r="F795" s="4"/>
      <c r="G795" s="5"/>
      <c r="H795" s="5"/>
      <c r="I795" s="5"/>
      <c r="J795" s="5"/>
    </row>
    <row r="796">
      <c r="A796" s="13"/>
      <c r="B796" s="5"/>
      <c r="C796" s="5"/>
      <c r="D796" s="5"/>
      <c r="E796" s="5"/>
      <c r="F796" s="4"/>
      <c r="G796" s="5"/>
      <c r="H796" s="5"/>
      <c r="I796" s="5"/>
      <c r="J796" s="5"/>
    </row>
    <row r="797">
      <c r="A797" s="13"/>
      <c r="B797" s="5"/>
      <c r="C797" s="5"/>
      <c r="D797" s="5"/>
      <c r="E797" s="5"/>
      <c r="F797" s="4"/>
      <c r="G797" s="5"/>
      <c r="H797" s="5"/>
      <c r="I797" s="5"/>
      <c r="J797" s="5"/>
    </row>
    <row r="798">
      <c r="A798" s="13"/>
      <c r="B798" s="5"/>
      <c r="C798" s="5"/>
      <c r="D798" s="5"/>
      <c r="E798" s="5"/>
      <c r="F798" s="4"/>
      <c r="G798" s="5"/>
      <c r="H798" s="5"/>
      <c r="I798" s="5"/>
      <c r="J798" s="5"/>
    </row>
    <row r="799">
      <c r="A799" s="13"/>
      <c r="B799" s="5"/>
      <c r="C799" s="5"/>
      <c r="D799" s="5"/>
      <c r="E799" s="5"/>
      <c r="F799" s="4"/>
      <c r="G799" s="5"/>
      <c r="H799" s="5"/>
      <c r="I799" s="5"/>
      <c r="J799" s="5"/>
    </row>
    <row r="800">
      <c r="A800" s="13"/>
      <c r="B800" s="5"/>
      <c r="C800" s="5"/>
      <c r="D800" s="5"/>
      <c r="E800" s="5"/>
      <c r="F800" s="4"/>
      <c r="G800" s="5"/>
      <c r="H800" s="5"/>
      <c r="I800" s="5"/>
      <c r="J800" s="5"/>
    </row>
    <row r="801">
      <c r="A801" s="13"/>
      <c r="B801" s="5"/>
      <c r="C801" s="5"/>
      <c r="D801" s="5"/>
      <c r="E801" s="5"/>
      <c r="F801" s="4"/>
      <c r="G801" s="5"/>
      <c r="H801" s="5"/>
      <c r="I801" s="5"/>
      <c r="J801" s="5"/>
    </row>
    <row r="802">
      <c r="A802" s="13"/>
      <c r="B802" s="5"/>
      <c r="C802" s="5"/>
      <c r="D802" s="5"/>
      <c r="E802" s="5"/>
      <c r="F802" s="4"/>
      <c r="G802" s="5"/>
      <c r="H802" s="5"/>
      <c r="I802" s="5"/>
      <c r="J802" s="5"/>
    </row>
    <row r="803">
      <c r="A803" s="13"/>
      <c r="B803" s="5"/>
      <c r="C803" s="5"/>
      <c r="D803" s="5"/>
      <c r="E803" s="5"/>
      <c r="F803" s="4"/>
      <c r="G803" s="5"/>
      <c r="H803" s="5"/>
      <c r="I803" s="5"/>
      <c r="J803" s="5"/>
    </row>
    <row r="804">
      <c r="A804" s="13"/>
      <c r="B804" s="5"/>
      <c r="C804" s="5"/>
      <c r="D804" s="5"/>
      <c r="E804" s="5"/>
      <c r="F804" s="4"/>
      <c r="G804" s="5"/>
      <c r="H804" s="5"/>
      <c r="I804" s="5"/>
      <c r="J804" s="5"/>
    </row>
    <row r="805">
      <c r="A805" s="13"/>
      <c r="B805" s="5"/>
      <c r="C805" s="5"/>
      <c r="D805" s="5"/>
      <c r="E805" s="5"/>
      <c r="F805" s="4"/>
      <c r="G805" s="5"/>
      <c r="H805" s="5"/>
      <c r="I805" s="5"/>
      <c r="J805" s="5"/>
    </row>
    <row r="806">
      <c r="A806" s="13"/>
      <c r="B806" s="5"/>
      <c r="C806" s="5"/>
      <c r="D806" s="5"/>
      <c r="E806" s="5"/>
      <c r="F806" s="4"/>
      <c r="G806" s="5"/>
      <c r="H806" s="5"/>
      <c r="I806" s="5"/>
      <c r="J806" s="5"/>
    </row>
    <row r="807">
      <c r="A807" s="13"/>
      <c r="B807" s="5"/>
      <c r="C807" s="5"/>
      <c r="D807" s="5"/>
      <c r="E807" s="5"/>
      <c r="F807" s="4"/>
      <c r="G807" s="5"/>
      <c r="H807" s="5"/>
      <c r="I807" s="5"/>
      <c r="J807" s="5"/>
    </row>
    <row r="808">
      <c r="A808" s="13"/>
      <c r="B808" s="5"/>
      <c r="C808" s="5"/>
      <c r="D808" s="5"/>
      <c r="E808" s="5"/>
      <c r="F808" s="4"/>
      <c r="G808" s="5"/>
      <c r="H808" s="5"/>
      <c r="I808" s="5"/>
      <c r="J808" s="5"/>
    </row>
    <row r="809">
      <c r="A809" s="13"/>
      <c r="B809" s="5"/>
      <c r="C809" s="5"/>
      <c r="D809" s="5"/>
      <c r="E809" s="5"/>
      <c r="F809" s="4"/>
      <c r="G809" s="5"/>
      <c r="H809" s="5"/>
      <c r="I809" s="5"/>
      <c r="J809" s="5"/>
    </row>
    <row r="810">
      <c r="A810" s="13"/>
      <c r="B810" s="5"/>
      <c r="C810" s="5"/>
      <c r="D810" s="5"/>
      <c r="E810" s="5"/>
      <c r="F810" s="4"/>
      <c r="G810" s="5"/>
      <c r="H810" s="5"/>
      <c r="I810" s="5"/>
      <c r="J810" s="5"/>
    </row>
    <row r="811">
      <c r="A811" s="13"/>
      <c r="B811" s="5"/>
      <c r="C811" s="5"/>
      <c r="D811" s="5"/>
      <c r="E811" s="5"/>
      <c r="F811" s="4"/>
      <c r="G811" s="5"/>
      <c r="H811" s="5"/>
      <c r="I811" s="5"/>
      <c r="J811" s="5"/>
    </row>
    <row r="812">
      <c r="A812" s="13"/>
      <c r="B812" s="5"/>
      <c r="C812" s="5"/>
      <c r="D812" s="5"/>
      <c r="E812" s="5"/>
      <c r="F812" s="4"/>
      <c r="G812" s="5"/>
      <c r="H812" s="5"/>
      <c r="I812" s="5"/>
      <c r="J812" s="5"/>
    </row>
    <row r="813">
      <c r="A813" s="13"/>
      <c r="B813" s="5"/>
      <c r="C813" s="5"/>
      <c r="D813" s="5"/>
      <c r="E813" s="5"/>
      <c r="F813" s="4"/>
      <c r="G813" s="5"/>
      <c r="H813" s="5"/>
      <c r="I813" s="5"/>
      <c r="J813" s="5"/>
    </row>
    <row r="814">
      <c r="A814" s="13"/>
      <c r="B814" s="5"/>
      <c r="C814" s="5"/>
      <c r="D814" s="5"/>
      <c r="E814" s="5"/>
      <c r="F814" s="4"/>
      <c r="G814" s="5"/>
      <c r="H814" s="5"/>
      <c r="I814" s="5"/>
      <c r="J814" s="5"/>
    </row>
    <row r="815">
      <c r="A815" s="13"/>
      <c r="B815" s="5"/>
      <c r="C815" s="5"/>
      <c r="D815" s="5"/>
      <c r="E815" s="5"/>
      <c r="F815" s="4"/>
      <c r="G815" s="5"/>
      <c r="H815" s="5"/>
      <c r="I815" s="5"/>
      <c r="J815" s="5"/>
    </row>
    <row r="816">
      <c r="A816" s="13"/>
      <c r="B816" s="5"/>
      <c r="C816" s="5"/>
      <c r="D816" s="5"/>
      <c r="E816" s="5"/>
      <c r="F816" s="4"/>
      <c r="G816" s="5"/>
      <c r="H816" s="5"/>
      <c r="I816" s="5"/>
      <c r="J816" s="5"/>
    </row>
    <row r="817">
      <c r="A817" s="13"/>
      <c r="B817" s="5"/>
      <c r="C817" s="5"/>
      <c r="D817" s="5"/>
      <c r="E817" s="5"/>
      <c r="F817" s="4"/>
      <c r="G817" s="5"/>
      <c r="H817" s="5"/>
      <c r="I817" s="5"/>
      <c r="J817" s="5"/>
    </row>
    <row r="818">
      <c r="A818" s="13"/>
      <c r="B818" s="5"/>
      <c r="C818" s="5"/>
      <c r="D818" s="5"/>
      <c r="E818" s="5"/>
      <c r="F818" s="4"/>
      <c r="G818" s="5"/>
      <c r="H818" s="5"/>
      <c r="I818" s="5"/>
      <c r="J818" s="5"/>
    </row>
    <row r="819">
      <c r="A819" s="13"/>
      <c r="B819" s="5"/>
      <c r="C819" s="5"/>
      <c r="D819" s="5"/>
      <c r="E819" s="5"/>
      <c r="F819" s="4"/>
      <c r="G819" s="5"/>
      <c r="H819" s="5"/>
      <c r="I819" s="5"/>
      <c r="J819" s="5"/>
    </row>
    <row r="820">
      <c r="A820" s="13"/>
      <c r="B820" s="5"/>
      <c r="C820" s="5"/>
      <c r="D820" s="5"/>
      <c r="E820" s="5"/>
      <c r="F820" s="4"/>
      <c r="G820" s="5"/>
      <c r="H820" s="5"/>
      <c r="I820" s="5"/>
      <c r="J820" s="5"/>
    </row>
    <row r="821">
      <c r="A821" s="13"/>
      <c r="B821" s="5"/>
      <c r="C821" s="5"/>
      <c r="D821" s="5"/>
      <c r="E821" s="5"/>
      <c r="F821" s="4"/>
      <c r="G821" s="5"/>
      <c r="H821" s="5"/>
      <c r="I821" s="5"/>
      <c r="J821" s="5"/>
    </row>
    <row r="822">
      <c r="A822" s="13"/>
      <c r="B822" s="5"/>
      <c r="C822" s="5"/>
      <c r="D822" s="5"/>
      <c r="E822" s="5"/>
      <c r="F822" s="4"/>
      <c r="G822" s="5"/>
      <c r="H822" s="5"/>
      <c r="I822" s="5"/>
      <c r="J822" s="5"/>
    </row>
    <row r="823">
      <c r="A823" s="13"/>
      <c r="B823" s="5"/>
      <c r="C823" s="5"/>
      <c r="D823" s="5"/>
      <c r="E823" s="5"/>
      <c r="F823" s="4"/>
      <c r="G823" s="5"/>
      <c r="H823" s="5"/>
      <c r="I823" s="5"/>
      <c r="J823" s="5"/>
    </row>
    <row r="824">
      <c r="A824" s="13"/>
      <c r="B824" s="5"/>
      <c r="C824" s="5"/>
      <c r="D824" s="5"/>
      <c r="E824" s="5"/>
      <c r="F824" s="4"/>
      <c r="G824" s="5"/>
      <c r="H824" s="5"/>
      <c r="I824" s="5"/>
      <c r="J824" s="5"/>
    </row>
    <row r="825">
      <c r="A825" s="13"/>
      <c r="B825" s="5"/>
      <c r="C825" s="5"/>
      <c r="D825" s="5"/>
      <c r="E825" s="5"/>
      <c r="F825" s="4"/>
      <c r="G825" s="5"/>
      <c r="H825" s="5"/>
      <c r="I825" s="5"/>
      <c r="J825" s="5"/>
    </row>
    <row r="826">
      <c r="A826" s="13"/>
      <c r="B826" s="5"/>
      <c r="C826" s="5"/>
      <c r="D826" s="5"/>
      <c r="E826" s="5"/>
      <c r="F826" s="4"/>
      <c r="G826" s="5"/>
      <c r="H826" s="5"/>
      <c r="I826" s="5"/>
      <c r="J826" s="5"/>
    </row>
    <row r="827">
      <c r="A827" s="13"/>
      <c r="B827" s="5"/>
      <c r="C827" s="5"/>
      <c r="D827" s="5"/>
      <c r="E827" s="5"/>
      <c r="F827" s="4"/>
      <c r="G827" s="5"/>
      <c r="H827" s="5"/>
      <c r="I827" s="5"/>
      <c r="J827" s="5"/>
    </row>
    <row r="828">
      <c r="A828" s="13"/>
      <c r="B828" s="5"/>
      <c r="C828" s="5"/>
      <c r="D828" s="5"/>
      <c r="E828" s="5"/>
      <c r="F828" s="4"/>
      <c r="G828" s="5"/>
      <c r="H828" s="5"/>
      <c r="I828" s="5"/>
      <c r="J828" s="5"/>
    </row>
    <row r="829">
      <c r="A829" s="13"/>
      <c r="B829" s="5"/>
      <c r="C829" s="5"/>
      <c r="D829" s="5"/>
      <c r="E829" s="5"/>
      <c r="F829" s="4"/>
      <c r="G829" s="5"/>
      <c r="H829" s="5"/>
      <c r="I829" s="5"/>
      <c r="J829" s="5"/>
    </row>
    <row r="830">
      <c r="A830" s="13"/>
      <c r="B830" s="5"/>
      <c r="C830" s="5"/>
      <c r="D830" s="5"/>
      <c r="E830" s="5"/>
      <c r="F830" s="4"/>
      <c r="G830" s="5"/>
      <c r="H830" s="5"/>
      <c r="I830" s="5"/>
      <c r="J830" s="5"/>
    </row>
    <row r="831">
      <c r="A831" s="13"/>
      <c r="B831" s="5"/>
      <c r="C831" s="5"/>
      <c r="D831" s="5"/>
      <c r="E831" s="5"/>
      <c r="F831" s="4"/>
      <c r="G831" s="5"/>
      <c r="H831" s="5"/>
      <c r="I831" s="5"/>
      <c r="J831" s="5"/>
    </row>
    <row r="832">
      <c r="A832" s="13"/>
      <c r="B832" s="5"/>
      <c r="C832" s="5"/>
      <c r="D832" s="5"/>
      <c r="E832" s="5"/>
      <c r="F832" s="4"/>
      <c r="G832" s="5"/>
      <c r="H832" s="5"/>
      <c r="I832" s="5"/>
      <c r="J832" s="5"/>
    </row>
    <row r="833">
      <c r="A833" s="13"/>
      <c r="B833" s="5"/>
      <c r="C833" s="5"/>
      <c r="D833" s="5"/>
      <c r="E833" s="5"/>
      <c r="F833" s="4"/>
      <c r="G833" s="5"/>
      <c r="H833" s="5"/>
      <c r="I833" s="5"/>
      <c r="J833" s="5"/>
    </row>
    <row r="834">
      <c r="A834" s="13"/>
      <c r="B834" s="5"/>
      <c r="C834" s="5"/>
      <c r="D834" s="5"/>
      <c r="E834" s="5"/>
      <c r="F834" s="4"/>
      <c r="G834" s="5"/>
      <c r="H834" s="5"/>
      <c r="I834" s="5"/>
      <c r="J834" s="5"/>
    </row>
    <row r="835">
      <c r="A835" s="13"/>
      <c r="B835" s="5"/>
      <c r="C835" s="5"/>
      <c r="D835" s="5"/>
      <c r="E835" s="5"/>
      <c r="F835" s="4"/>
      <c r="G835" s="5"/>
      <c r="H835" s="5"/>
      <c r="I835" s="5"/>
      <c r="J835" s="5"/>
    </row>
    <row r="836">
      <c r="A836" s="13"/>
      <c r="B836" s="5"/>
      <c r="C836" s="5"/>
      <c r="D836" s="5"/>
      <c r="E836" s="5"/>
      <c r="F836" s="4"/>
      <c r="G836" s="5"/>
      <c r="H836" s="5"/>
      <c r="I836" s="5"/>
      <c r="J836" s="5"/>
    </row>
    <row r="837">
      <c r="A837" s="13"/>
      <c r="B837" s="5"/>
      <c r="C837" s="5"/>
      <c r="D837" s="5"/>
      <c r="E837" s="5"/>
      <c r="F837" s="4"/>
      <c r="G837" s="5"/>
      <c r="H837" s="5"/>
      <c r="I837" s="5"/>
      <c r="J837" s="5"/>
    </row>
    <row r="838">
      <c r="A838" s="13"/>
      <c r="B838" s="5"/>
      <c r="C838" s="5"/>
      <c r="D838" s="5"/>
      <c r="E838" s="5"/>
      <c r="F838" s="4"/>
      <c r="G838" s="5"/>
      <c r="H838" s="5"/>
      <c r="I838" s="5"/>
      <c r="J838" s="5"/>
    </row>
    <row r="839">
      <c r="A839" s="13"/>
      <c r="B839" s="5"/>
      <c r="C839" s="5"/>
      <c r="D839" s="5"/>
      <c r="E839" s="5"/>
      <c r="F839" s="4"/>
      <c r="G839" s="5"/>
      <c r="H839" s="5"/>
      <c r="I839" s="5"/>
      <c r="J839" s="5"/>
    </row>
    <row r="840">
      <c r="A840" s="13"/>
      <c r="B840" s="5"/>
      <c r="C840" s="5"/>
      <c r="D840" s="5"/>
      <c r="E840" s="5"/>
      <c r="F840" s="4"/>
      <c r="G840" s="5"/>
      <c r="H840" s="5"/>
      <c r="I840" s="5"/>
      <c r="J840" s="5"/>
    </row>
    <row r="841">
      <c r="A841" s="13"/>
      <c r="B841" s="5"/>
      <c r="C841" s="5"/>
      <c r="D841" s="5"/>
      <c r="E841" s="5"/>
      <c r="F841" s="4"/>
      <c r="G841" s="5"/>
      <c r="H841" s="5"/>
      <c r="I841" s="5"/>
      <c r="J841" s="5"/>
    </row>
    <row r="842">
      <c r="A842" s="13"/>
      <c r="B842" s="5"/>
      <c r="C842" s="5"/>
      <c r="D842" s="5"/>
      <c r="E842" s="5"/>
      <c r="F842" s="4"/>
      <c r="G842" s="5"/>
      <c r="H842" s="5"/>
      <c r="I842" s="5"/>
      <c r="J842" s="5"/>
    </row>
    <row r="843">
      <c r="A843" s="13"/>
      <c r="B843" s="5"/>
      <c r="C843" s="5"/>
      <c r="D843" s="5"/>
      <c r="E843" s="5"/>
      <c r="F843" s="4"/>
      <c r="G843" s="5"/>
      <c r="H843" s="5"/>
      <c r="I843" s="5"/>
      <c r="J843" s="5"/>
    </row>
    <row r="844">
      <c r="A844" s="13"/>
      <c r="B844" s="5"/>
      <c r="C844" s="5"/>
      <c r="D844" s="5"/>
      <c r="E844" s="5"/>
      <c r="F844" s="4"/>
      <c r="G844" s="5"/>
      <c r="H844" s="5"/>
      <c r="I844" s="5"/>
      <c r="J844" s="5"/>
    </row>
    <row r="845">
      <c r="A845" s="13"/>
      <c r="B845" s="5"/>
      <c r="C845" s="5"/>
      <c r="D845" s="5"/>
      <c r="E845" s="5"/>
      <c r="F845" s="4"/>
      <c r="G845" s="5"/>
      <c r="H845" s="5"/>
      <c r="I845" s="5"/>
      <c r="J845" s="5"/>
    </row>
    <row r="846">
      <c r="A846" s="13"/>
      <c r="B846" s="5"/>
      <c r="C846" s="5"/>
      <c r="D846" s="5"/>
      <c r="E846" s="5"/>
      <c r="F846" s="4"/>
      <c r="G846" s="5"/>
      <c r="H846" s="5"/>
      <c r="I846" s="5"/>
      <c r="J846" s="5"/>
    </row>
    <row r="847">
      <c r="A847" s="13"/>
      <c r="B847" s="5"/>
      <c r="C847" s="5"/>
      <c r="D847" s="5"/>
      <c r="E847" s="5"/>
      <c r="F847" s="4"/>
      <c r="G847" s="5"/>
      <c r="H847" s="5"/>
      <c r="I847" s="5"/>
      <c r="J847" s="5"/>
    </row>
    <row r="848">
      <c r="A848" s="13"/>
      <c r="B848" s="5"/>
      <c r="C848" s="5"/>
      <c r="D848" s="5"/>
      <c r="E848" s="5"/>
      <c r="F848" s="4"/>
      <c r="G848" s="5"/>
      <c r="H848" s="5"/>
      <c r="I848" s="5"/>
      <c r="J848" s="5"/>
    </row>
    <row r="849">
      <c r="A849" s="13"/>
      <c r="B849" s="5"/>
      <c r="C849" s="5"/>
      <c r="D849" s="5"/>
      <c r="E849" s="5"/>
      <c r="F849" s="4"/>
      <c r="G849" s="5"/>
      <c r="H849" s="5"/>
      <c r="I849" s="5"/>
      <c r="J849" s="5"/>
    </row>
    <row r="850">
      <c r="A850" s="13"/>
      <c r="B850" s="5"/>
      <c r="C850" s="5"/>
      <c r="D850" s="5"/>
      <c r="E850" s="5"/>
      <c r="F850" s="4"/>
      <c r="G850" s="5"/>
      <c r="H850" s="5"/>
      <c r="I850" s="5"/>
      <c r="J850" s="5"/>
    </row>
    <row r="851">
      <c r="A851" s="13"/>
      <c r="B851" s="5"/>
      <c r="C851" s="5"/>
      <c r="D851" s="5"/>
      <c r="E851" s="5"/>
      <c r="F851" s="4"/>
      <c r="G851" s="5"/>
      <c r="H851" s="5"/>
      <c r="I851" s="5"/>
      <c r="J851" s="5"/>
    </row>
    <row r="852">
      <c r="A852" s="13"/>
      <c r="B852" s="5"/>
      <c r="C852" s="5"/>
      <c r="D852" s="5"/>
      <c r="E852" s="5"/>
      <c r="F852" s="4"/>
      <c r="G852" s="5"/>
      <c r="H852" s="5"/>
      <c r="I852" s="5"/>
      <c r="J852" s="5"/>
    </row>
    <row r="853">
      <c r="A853" s="13"/>
      <c r="B853" s="5"/>
      <c r="C853" s="5"/>
      <c r="D853" s="5"/>
      <c r="E853" s="5"/>
      <c r="F853" s="4"/>
      <c r="G853" s="5"/>
      <c r="H853" s="5"/>
      <c r="I853" s="5"/>
      <c r="J853" s="5"/>
    </row>
    <row r="854">
      <c r="A854" s="13"/>
      <c r="B854" s="5"/>
      <c r="C854" s="5"/>
      <c r="D854" s="5"/>
      <c r="E854" s="5"/>
      <c r="F854" s="4"/>
      <c r="G854" s="5"/>
      <c r="H854" s="5"/>
      <c r="I854" s="5"/>
      <c r="J854" s="5"/>
    </row>
    <row r="855">
      <c r="A855" s="13"/>
      <c r="B855" s="5"/>
      <c r="C855" s="5"/>
      <c r="D855" s="5"/>
      <c r="E855" s="5"/>
      <c r="F855" s="4"/>
      <c r="G855" s="5"/>
      <c r="H855" s="5"/>
      <c r="I855" s="5"/>
      <c r="J855" s="5"/>
    </row>
    <row r="856">
      <c r="A856" s="13"/>
      <c r="B856" s="5"/>
      <c r="C856" s="5"/>
      <c r="D856" s="5"/>
      <c r="E856" s="5"/>
      <c r="F856" s="4"/>
      <c r="G856" s="5"/>
      <c r="H856" s="5"/>
      <c r="I856" s="5"/>
      <c r="J856" s="5"/>
    </row>
    <row r="857">
      <c r="A857" s="13"/>
      <c r="B857" s="5"/>
      <c r="C857" s="5"/>
      <c r="D857" s="5"/>
      <c r="E857" s="5"/>
      <c r="F857" s="4"/>
      <c r="G857" s="5"/>
      <c r="H857" s="5"/>
      <c r="I857" s="5"/>
      <c r="J857" s="5"/>
    </row>
    <row r="858">
      <c r="A858" s="13"/>
      <c r="B858" s="5"/>
      <c r="C858" s="5"/>
      <c r="D858" s="5"/>
      <c r="E858" s="5"/>
      <c r="F858" s="4"/>
      <c r="G858" s="5"/>
      <c r="H858" s="5"/>
      <c r="I858" s="5"/>
      <c r="J858" s="5"/>
    </row>
    <row r="859">
      <c r="A859" s="13"/>
      <c r="B859" s="5"/>
      <c r="C859" s="5"/>
      <c r="D859" s="5"/>
      <c r="E859" s="5"/>
      <c r="F859" s="4"/>
      <c r="G859" s="5"/>
      <c r="H859" s="5"/>
      <c r="I859" s="5"/>
      <c r="J859" s="5"/>
    </row>
    <row r="860">
      <c r="A860" s="13"/>
      <c r="B860" s="5"/>
      <c r="C860" s="5"/>
      <c r="D860" s="5"/>
      <c r="E860" s="5"/>
      <c r="F860" s="4"/>
      <c r="G860" s="5"/>
      <c r="H860" s="5"/>
      <c r="I860" s="5"/>
      <c r="J860" s="5"/>
    </row>
    <row r="861">
      <c r="A861" s="13"/>
      <c r="B861" s="5"/>
      <c r="C861" s="5"/>
      <c r="D861" s="5"/>
      <c r="E861" s="5"/>
      <c r="F861" s="4"/>
      <c r="G861" s="5"/>
      <c r="H861" s="5"/>
      <c r="I861" s="5"/>
      <c r="J861" s="5"/>
    </row>
    <row r="862">
      <c r="A862" s="13"/>
      <c r="B862" s="5"/>
      <c r="C862" s="5"/>
      <c r="D862" s="5"/>
      <c r="E862" s="5"/>
      <c r="F862" s="4"/>
      <c r="G862" s="5"/>
      <c r="H862" s="5"/>
      <c r="I862" s="5"/>
      <c r="J862" s="5"/>
    </row>
    <row r="863">
      <c r="A863" s="13"/>
      <c r="B863" s="5"/>
      <c r="C863" s="5"/>
      <c r="D863" s="5"/>
      <c r="E863" s="5"/>
      <c r="F863" s="4"/>
      <c r="G863" s="5"/>
      <c r="H863" s="5"/>
      <c r="I863" s="5"/>
      <c r="J863" s="5"/>
    </row>
    <row r="864">
      <c r="A864" s="13"/>
      <c r="B864" s="5"/>
      <c r="C864" s="5"/>
      <c r="D864" s="5"/>
      <c r="E864" s="5"/>
      <c r="F864" s="4"/>
      <c r="G864" s="5"/>
      <c r="H864" s="5"/>
      <c r="I864" s="5"/>
      <c r="J864" s="5"/>
    </row>
    <row r="865">
      <c r="A865" s="13"/>
      <c r="B865" s="5"/>
      <c r="C865" s="5"/>
      <c r="D865" s="5"/>
      <c r="E865" s="5"/>
      <c r="F865" s="4"/>
      <c r="G865" s="5"/>
      <c r="H865" s="5"/>
      <c r="I865" s="5"/>
      <c r="J865" s="5"/>
    </row>
    <row r="866">
      <c r="A866" s="13"/>
      <c r="B866" s="5"/>
      <c r="C866" s="5"/>
      <c r="D866" s="5"/>
      <c r="E866" s="5"/>
      <c r="F866" s="4"/>
      <c r="G866" s="5"/>
      <c r="H866" s="5"/>
      <c r="I866" s="5"/>
      <c r="J866" s="5"/>
    </row>
    <row r="867">
      <c r="A867" s="13"/>
      <c r="B867" s="5"/>
      <c r="C867" s="5"/>
      <c r="D867" s="5"/>
      <c r="E867" s="5"/>
      <c r="F867" s="4"/>
      <c r="G867" s="5"/>
      <c r="H867" s="5"/>
      <c r="I867" s="5"/>
      <c r="J867" s="5"/>
    </row>
    <row r="868">
      <c r="A868" s="13"/>
      <c r="B868" s="5"/>
      <c r="C868" s="5"/>
      <c r="D868" s="5"/>
      <c r="E868" s="5"/>
      <c r="F868" s="4"/>
      <c r="G868" s="5"/>
      <c r="H868" s="5"/>
      <c r="I868" s="5"/>
      <c r="J868" s="5"/>
    </row>
    <row r="869">
      <c r="A869" s="13"/>
      <c r="B869" s="5"/>
      <c r="C869" s="5"/>
      <c r="D869" s="5"/>
      <c r="E869" s="5"/>
      <c r="F869" s="4"/>
      <c r="G869" s="5"/>
      <c r="H869" s="5"/>
      <c r="I869" s="5"/>
      <c r="J869" s="5"/>
    </row>
    <row r="870">
      <c r="A870" s="13"/>
      <c r="B870" s="5"/>
      <c r="C870" s="5"/>
      <c r="D870" s="5"/>
      <c r="E870" s="5"/>
      <c r="F870" s="4"/>
      <c r="G870" s="5"/>
      <c r="H870" s="5"/>
      <c r="I870" s="5"/>
      <c r="J870" s="5"/>
    </row>
    <row r="871">
      <c r="A871" s="13"/>
      <c r="B871" s="5"/>
      <c r="C871" s="5"/>
      <c r="D871" s="5"/>
      <c r="E871" s="5"/>
      <c r="F871" s="4"/>
      <c r="G871" s="5"/>
      <c r="H871" s="5"/>
      <c r="I871" s="5"/>
      <c r="J871" s="5"/>
    </row>
    <row r="872">
      <c r="A872" s="13"/>
      <c r="B872" s="5"/>
      <c r="C872" s="5"/>
      <c r="D872" s="5"/>
      <c r="E872" s="5"/>
      <c r="F872" s="4"/>
      <c r="G872" s="5"/>
      <c r="H872" s="5"/>
      <c r="I872" s="5"/>
      <c r="J872" s="5"/>
    </row>
    <row r="873">
      <c r="A873" s="13"/>
      <c r="B873" s="5"/>
      <c r="C873" s="5"/>
      <c r="D873" s="5"/>
      <c r="E873" s="5"/>
      <c r="F873" s="4"/>
      <c r="G873" s="5"/>
      <c r="H873" s="5"/>
      <c r="I873" s="5"/>
      <c r="J873" s="5"/>
    </row>
    <row r="874">
      <c r="A874" s="13"/>
      <c r="B874" s="5"/>
      <c r="C874" s="5"/>
      <c r="D874" s="5"/>
      <c r="E874" s="5"/>
      <c r="F874" s="4"/>
      <c r="G874" s="5"/>
      <c r="H874" s="5"/>
      <c r="I874" s="5"/>
      <c r="J874" s="5"/>
    </row>
    <row r="875">
      <c r="A875" s="13"/>
      <c r="B875" s="5"/>
      <c r="C875" s="5"/>
      <c r="D875" s="5"/>
      <c r="E875" s="5"/>
      <c r="F875" s="4"/>
      <c r="G875" s="5"/>
      <c r="H875" s="5"/>
      <c r="I875" s="5"/>
      <c r="J875" s="5"/>
    </row>
    <row r="876">
      <c r="A876" s="13"/>
      <c r="B876" s="5"/>
      <c r="C876" s="5"/>
      <c r="D876" s="5"/>
      <c r="E876" s="5"/>
      <c r="F876" s="4"/>
      <c r="G876" s="5"/>
      <c r="H876" s="5"/>
      <c r="I876" s="5"/>
      <c r="J876" s="5"/>
    </row>
    <row r="877">
      <c r="A877" s="13"/>
      <c r="B877" s="5"/>
      <c r="C877" s="5"/>
      <c r="D877" s="5"/>
      <c r="E877" s="5"/>
      <c r="F877" s="4"/>
      <c r="G877" s="5"/>
      <c r="H877" s="5"/>
      <c r="I877" s="5"/>
      <c r="J877" s="5"/>
    </row>
    <row r="878">
      <c r="A878" s="13"/>
      <c r="B878" s="5"/>
      <c r="C878" s="5"/>
      <c r="D878" s="5"/>
      <c r="E878" s="5"/>
      <c r="F878" s="4"/>
      <c r="G878" s="5"/>
      <c r="H878" s="5"/>
      <c r="I878" s="5"/>
      <c r="J878" s="5"/>
    </row>
    <row r="879">
      <c r="A879" s="13"/>
      <c r="B879" s="5"/>
      <c r="C879" s="5"/>
      <c r="D879" s="5"/>
      <c r="E879" s="5"/>
      <c r="F879" s="4"/>
      <c r="G879" s="5"/>
      <c r="H879" s="5"/>
      <c r="I879" s="5"/>
      <c r="J879" s="5"/>
    </row>
    <row r="880">
      <c r="A880" s="13"/>
      <c r="B880" s="5"/>
      <c r="C880" s="5"/>
      <c r="D880" s="5"/>
      <c r="E880" s="5"/>
      <c r="F880" s="4"/>
      <c r="G880" s="5"/>
      <c r="H880" s="5"/>
      <c r="I880" s="5"/>
      <c r="J880" s="5"/>
    </row>
    <row r="881">
      <c r="A881" s="13"/>
      <c r="B881" s="5"/>
      <c r="C881" s="5"/>
      <c r="D881" s="5"/>
      <c r="E881" s="5"/>
      <c r="F881" s="4"/>
      <c r="G881" s="5"/>
      <c r="H881" s="5"/>
      <c r="I881" s="5"/>
      <c r="J881" s="5"/>
    </row>
    <row r="882">
      <c r="A882" s="13"/>
      <c r="B882" s="5"/>
      <c r="C882" s="5"/>
      <c r="D882" s="5"/>
      <c r="E882" s="5"/>
      <c r="F882" s="4"/>
      <c r="G882" s="5"/>
      <c r="H882" s="5"/>
      <c r="I882" s="5"/>
      <c r="J882" s="5"/>
    </row>
    <row r="883">
      <c r="A883" s="13"/>
      <c r="B883" s="5"/>
      <c r="C883" s="5"/>
      <c r="D883" s="5"/>
      <c r="E883" s="5"/>
      <c r="F883" s="4"/>
      <c r="G883" s="5"/>
      <c r="H883" s="5"/>
      <c r="I883" s="5"/>
      <c r="J883" s="5"/>
    </row>
    <row r="884">
      <c r="A884" s="13"/>
      <c r="B884" s="5"/>
      <c r="C884" s="5"/>
      <c r="D884" s="5"/>
      <c r="E884" s="5"/>
      <c r="F884" s="4"/>
      <c r="G884" s="5"/>
      <c r="H884" s="5"/>
      <c r="I884" s="5"/>
      <c r="J884" s="5"/>
    </row>
    <row r="885">
      <c r="A885" s="13"/>
      <c r="B885" s="5"/>
      <c r="C885" s="5"/>
      <c r="D885" s="5"/>
      <c r="E885" s="5"/>
      <c r="F885" s="4"/>
      <c r="G885" s="5"/>
      <c r="H885" s="5"/>
      <c r="I885" s="5"/>
      <c r="J885" s="5"/>
    </row>
    <row r="886">
      <c r="A886" s="13"/>
      <c r="B886" s="5"/>
      <c r="C886" s="5"/>
      <c r="D886" s="5"/>
      <c r="E886" s="5"/>
      <c r="F886" s="4"/>
      <c r="G886" s="5"/>
      <c r="H886" s="5"/>
      <c r="I886" s="5"/>
      <c r="J886" s="5"/>
    </row>
    <row r="887">
      <c r="A887" s="13"/>
      <c r="B887" s="5"/>
      <c r="C887" s="5"/>
      <c r="D887" s="5"/>
      <c r="E887" s="5"/>
      <c r="F887" s="4"/>
      <c r="G887" s="5"/>
      <c r="H887" s="5"/>
      <c r="I887" s="5"/>
      <c r="J887" s="5"/>
    </row>
    <row r="888">
      <c r="A888" s="13"/>
      <c r="B888" s="5"/>
      <c r="C888" s="5"/>
      <c r="D888" s="5"/>
      <c r="E888" s="5"/>
      <c r="F888" s="4"/>
      <c r="G888" s="5"/>
      <c r="H888" s="5"/>
      <c r="I888" s="5"/>
      <c r="J888" s="5"/>
    </row>
    <row r="889">
      <c r="A889" s="13"/>
      <c r="B889" s="5"/>
      <c r="C889" s="5"/>
      <c r="D889" s="5"/>
      <c r="E889" s="5"/>
      <c r="F889" s="4"/>
      <c r="G889" s="5"/>
      <c r="H889" s="5"/>
      <c r="I889" s="5"/>
      <c r="J889" s="5"/>
    </row>
    <row r="890">
      <c r="A890" s="13"/>
      <c r="B890" s="5"/>
      <c r="C890" s="5"/>
      <c r="D890" s="5"/>
      <c r="E890" s="5"/>
      <c r="F890" s="4"/>
      <c r="G890" s="5"/>
      <c r="H890" s="5"/>
      <c r="I890" s="5"/>
      <c r="J890" s="5"/>
    </row>
    <row r="891">
      <c r="A891" s="13"/>
      <c r="B891" s="5"/>
      <c r="C891" s="5"/>
      <c r="D891" s="5"/>
      <c r="E891" s="5"/>
      <c r="F891" s="4"/>
      <c r="G891" s="5"/>
      <c r="H891" s="5"/>
      <c r="I891" s="5"/>
      <c r="J891" s="5"/>
    </row>
    <row r="892">
      <c r="A892" s="13"/>
      <c r="B892" s="5"/>
      <c r="C892" s="5"/>
      <c r="D892" s="5"/>
      <c r="E892" s="5"/>
      <c r="F892" s="4"/>
      <c r="G892" s="5"/>
      <c r="H892" s="5"/>
      <c r="I892" s="5"/>
      <c r="J892" s="5"/>
    </row>
    <row r="893">
      <c r="A893" s="13"/>
      <c r="B893" s="5"/>
      <c r="C893" s="5"/>
      <c r="D893" s="5"/>
      <c r="E893" s="5"/>
      <c r="F893" s="4"/>
      <c r="G893" s="5"/>
      <c r="H893" s="5"/>
      <c r="I893" s="5"/>
      <c r="J893" s="5"/>
    </row>
    <row r="894">
      <c r="A894" s="13"/>
      <c r="B894" s="5"/>
      <c r="C894" s="5"/>
      <c r="D894" s="5"/>
      <c r="E894" s="5"/>
      <c r="F894" s="4"/>
      <c r="G894" s="5"/>
      <c r="H894" s="5"/>
      <c r="I894" s="5"/>
      <c r="J894" s="5"/>
    </row>
    <row r="895">
      <c r="A895" s="13"/>
      <c r="B895" s="5"/>
      <c r="C895" s="5"/>
      <c r="D895" s="5"/>
      <c r="E895" s="5"/>
      <c r="F895" s="4"/>
      <c r="G895" s="5"/>
      <c r="H895" s="5"/>
      <c r="I895" s="5"/>
      <c r="J895" s="5"/>
    </row>
    <row r="896">
      <c r="A896" s="13"/>
      <c r="B896" s="5"/>
      <c r="C896" s="5"/>
      <c r="D896" s="5"/>
      <c r="E896" s="5"/>
      <c r="F896" s="4"/>
      <c r="G896" s="5"/>
      <c r="H896" s="5"/>
      <c r="I896" s="5"/>
      <c r="J896" s="5"/>
    </row>
    <row r="897">
      <c r="A897" s="13"/>
      <c r="B897" s="5"/>
      <c r="C897" s="5"/>
      <c r="D897" s="5"/>
      <c r="E897" s="5"/>
      <c r="F897" s="4"/>
      <c r="G897" s="5"/>
      <c r="H897" s="5"/>
      <c r="I897" s="5"/>
      <c r="J897" s="5"/>
    </row>
    <row r="898">
      <c r="A898" s="13"/>
      <c r="B898" s="5"/>
      <c r="C898" s="5"/>
      <c r="D898" s="5"/>
      <c r="E898" s="5"/>
      <c r="F898" s="4"/>
      <c r="G898" s="5"/>
      <c r="H898" s="5"/>
      <c r="I898" s="5"/>
      <c r="J898" s="5"/>
    </row>
    <row r="899">
      <c r="A899" s="13"/>
      <c r="B899" s="5"/>
      <c r="C899" s="5"/>
      <c r="D899" s="5"/>
      <c r="E899" s="5"/>
      <c r="F899" s="4"/>
      <c r="G899" s="5"/>
      <c r="H899" s="5"/>
      <c r="I899" s="5"/>
      <c r="J899" s="5"/>
    </row>
    <row r="900">
      <c r="A900" s="13"/>
      <c r="B900" s="5"/>
      <c r="C900" s="5"/>
      <c r="D900" s="5"/>
      <c r="E900" s="5"/>
      <c r="F900" s="4"/>
      <c r="G900" s="5"/>
      <c r="H900" s="5"/>
      <c r="I900" s="5"/>
      <c r="J900" s="5"/>
    </row>
    <row r="901">
      <c r="A901" s="13"/>
      <c r="B901" s="5"/>
      <c r="C901" s="5"/>
      <c r="D901" s="5"/>
      <c r="E901" s="5"/>
      <c r="F901" s="4"/>
      <c r="G901" s="5"/>
      <c r="H901" s="5"/>
      <c r="I901" s="5"/>
      <c r="J901" s="5"/>
    </row>
    <row r="902">
      <c r="A902" s="13"/>
      <c r="B902" s="5"/>
      <c r="C902" s="5"/>
      <c r="D902" s="5"/>
      <c r="E902" s="5"/>
      <c r="F902" s="4"/>
      <c r="G902" s="5"/>
      <c r="H902" s="5"/>
      <c r="I902" s="5"/>
      <c r="J902" s="5"/>
    </row>
    <row r="903">
      <c r="A903" s="13"/>
      <c r="B903" s="5"/>
      <c r="C903" s="5"/>
      <c r="D903" s="5"/>
      <c r="E903" s="5"/>
      <c r="F903" s="4"/>
      <c r="G903" s="5"/>
      <c r="H903" s="5"/>
      <c r="I903" s="5"/>
      <c r="J903" s="5"/>
    </row>
    <row r="904">
      <c r="A904" s="13"/>
      <c r="B904" s="5"/>
      <c r="C904" s="5"/>
      <c r="D904" s="5"/>
      <c r="E904" s="5"/>
      <c r="F904" s="4"/>
      <c r="G904" s="5"/>
      <c r="H904" s="5"/>
      <c r="I904" s="5"/>
      <c r="J904" s="5"/>
    </row>
    <row r="905">
      <c r="A905" s="13"/>
      <c r="B905" s="5"/>
      <c r="C905" s="5"/>
      <c r="D905" s="5"/>
      <c r="E905" s="5"/>
      <c r="F905" s="4"/>
      <c r="G905" s="5"/>
      <c r="H905" s="5"/>
      <c r="I905" s="5"/>
      <c r="J905" s="5"/>
    </row>
    <row r="906">
      <c r="A906" s="13"/>
      <c r="B906" s="5"/>
      <c r="C906" s="5"/>
      <c r="D906" s="5"/>
      <c r="E906" s="5"/>
      <c r="F906" s="4"/>
      <c r="G906" s="5"/>
      <c r="H906" s="5"/>
      <c r="I906" s="5"/>
      <c r="J906" s="5"/>
    </row>
    <row r="907">
      <c r="A907" s="13"/>
      <c r="B907" s="5"/>
      <c r="C907" s="5"/>
      <c r="D907" s="5"/>
      <c r="E907" s="5"/>
      <c r="F907" s="4"/>
      <c r="G907" s="5"/>
      <c r="H907" s="5"/>
      <c r="I907" s="5"/>
      <c r="J907" s="5"/>
    </row>
    <row r="908">
      <c r="A908" s="13"/>
      <c r="B908" s="5"/>
      <c r="C908" s="5"/>
      <c r="D908" s="5"/>
      <c r="E908" s="5"/>
      <c r="F908" s="4"/>
      <c r="G908" s="5"/>
      <c r="H908" s="5"/>
      <c r="I908" s="5"/>
      <c r="J908" s="5"/>
    </row>
    <row r="909">
      <c r="A909" s="13"/>
      <c r="B909" s="5"/>
      <c r="C909" s="5"/>
      <c r="D909" s="5"/>
      <c r="E909" s="5"/>
      <c r="F909" s="4"/>
      <c r="G909" s="5"/>
      <c r="H909" s="5"/>
      <c r="I909" s="5"/>
      <c r="J909" s="5"/>
    </row>
    <row r="910">
      <c r="A910" s="13"/>
      <c r="B910" s="5"/>
      <c r="C910" s="5"/>
      <c r="D910" s="5"/>
      <c r="E910" s="5"/>
      <c r="F910" s="4"/>
      <c r="G910" s="5"/>
      <c r="H910" s="5"/>
      <c r="I910" s="5"/>
      <c r="J910" s="5"/>
    </row>
    <row r="911">
      <c r="A911" s="13"/>
      <c r="B911" s="5"/>
      <c r="C911" s="5"/>
      <c r="D911" s="5"/>
      <c r="E911" s="5"/>
      <c r="F911" s="4"/>
      <c r="G911" s="5"/>
      <c r="H911" s="5"/>
      <c r="I911" s="5"/>
      <c r="J911" s="5"/>
    </row>
    <row r="912">
      <c r="A912" s="13"/>
      <c r="B912" s="5"/>
      <c r="C912" s="5"/>
      <c r="D912" s="5"/>
      <c r="E912" s="5"/>
      <c r="F912" s="4"/>
      <c r="G912" s="5"/>
      <c r="H912" s="5"/>
      <c r="I912" s="5"/>
      <c r="J912" s="5"/>
    </row>
    <row r="913">
      <c r="A913" s="13"/>
      <c r="B913" s="5"/>
      <c r="C913" s="5"/>
      <c r="D913" s="5"/>
      <c r="E913" s="5"/>
      <c r="F913" s="4"/>
      <c r="G913" s="5"/>
      <c r="H913" s="5"/>
      <c r="I913" s="5"/>
      <c r="J913" s="5"/>
    </row>
    <row r="914">
      <c r="A914" s="13"/>
      <c r="B914" s="5"/>
      <c r="C914" s="5"/>
      <c r="D914" s="5"/>
      <c r="E914" s="5"/>
      <c r="F914" s="4"/>
      <c r="G914" s="5"/>
      <c r="H914" s="5"/>
      <c r="I914" s="5"/>
      <c r="J914" s="5"/>
    </row>
    <row r="915">
      <c r="A915" s="13"/>
      <c r="B915" s="5"/>
      <c r="C915" s="5"/>
      <c r="D915" s="5"/>
      <c r="E915" s="5"/>
      <c r="F915" s="4"/>
      <c r="G915" s="5"/>
      <c r="H915" s="5"/>
      <c r="I915" s="5"/>
      <c r="J915" s="5"/>
    </row>
    <row r="916">
      <c r="A916" s="13"/>
      <c r="B916" s="5"/>
      <c r="C916" s="5"/>
      <c r="D916" s="5"/>
      <c r="E916" s="5"/>
      <c r="F916" s="4"/>
      <c r="G916" s="5"/>
      <c r="H916" s="5"/>
      <c r="I916" s="5"/>
      <c r="J916" s="5"/>
    </row>
    <row r="917">
      <c r="A917" s="13"/>
      <c r="B917" s="5"/>
      <c r="C917" s="5"/>
      <c r="D917" s="5"/>
      <c r="E917" s="5"/>
      <c r="F917" s="4"/>
      <c r="G917" s="5"/>
      <c r="H917" s="5"/>
      <c r="I917" s="5"/>
      <c r="J917" s="5"/>
    </row>
    <row r="918">
      <c r="A918" s="13"/>
      <c r="B918" s="5"/>
      <c r="C918" s="5"/>
      <c r="D918" s="5"/>
      <c r="E918" s="5"/>
      <c r="F918" s="4"/>
      <c r="G918" s="5"/>
      <c r="H918" s="5"/>
      <c r="I918" s="5"/>
      <c r="J918" s="5"/>
    </row>
    <row r="919">
      <c r="A919" s="13"/>
      <c r="B919" s="5"/>
      <c r="C919" s="5"/>
      <c r="D919" s="5"/>
      <c r="E919" s="5"/>
      <c r="F919" s="4"/>
      <c r="G919" s="5"/>
      <c r="H919" s="5"/>
      <c r="I919" s="5"/>
      <c r="J919" s="5"/>
    </row>
    <row r="920">
      <c r="A920" s="13"/>
      <c r="B920" s="5"/>
      <c r="C920" s="5"/>
      <c r="D920" s="5"/>
      <c r="E920" s="5"/>
      <c r="F920" s="4"/>
      <c r="G920" s="5"/>
      <c r="H920" s="5"/>
      <c r="I920" s="5"/>
      <c r="J920" s="5"/>
    </row>
    <row r="921">
      <c r="A921" s="13"/>
      <c r="B921" s="5"/>
      <c r="C921" s="5"/>
      <c r="D921" s="5"/>
      <c r="E921" s="5"/>
      <c r="F921" s="4"/>
      <c r="G921" s="5"/>
      <c r="H921" s="5"/>
      <c r="I921" s="5"/>
      <c r="J921" s="5"/>
    </row>
    <row r="922">
      <c r="A922" s="13"/>
      <c r="B922" s="5"/>
      <c r="C922" s="5"/>
      <c r="D922" s="5"/>
      <c r="E922" s="5"/>
      <c r="F922" s="4"/>
      <c r="G922" s="5"/>
      <c r="H922" s="5"/>
      <c r="I922" s="5"/>
      <c r="J922" s="5"/>
    </row>
    <row r="923">
      <c r="A923" s="13"/>
      <c r="B923" s="5"/>
      <c r="C923" s="5"/>
      <c r="D923" s="5"/>
      <c r="E923" s="5"/>
      <c r="F923" s="4"/>
      <c r="G923" s="5"/>
      <c r="H923" s="5"/>
      <c r="I923" s="5"/>
      <c r="J923" s="5"/>
    </row>
    <row r="924">
      <c r="A924" s="13"/>
      <c r="B924" s="5"/>
      <c r="C924" s="5"/>
      <c r="D924" s="5"/>
      <c r="E924" s="5"/>
      <c r="F924" s="4"/>
      <c r="G924" s="5"/>
      <c r="H924" s="5"/>
      <c r="I924" s="5"/>
      <c r="J924" s="5"/>
    </row>
    <row r="925">
      <c r="A925" s="13"/>
      <c r="B925" s="5"/>
      <c r="C925" s="5"/>
      <c r="D925" s="5"/>
      <c r="E925" s="5"/>
      <c r="F925" s="4"/>
      <c r="G925" s="5"/>
      <c r="H925" s="5"/>
      <c r="I925" s="5"/>
      <c r="J925" s="5"/>
    </row>
    <row r="926">
      <c r="A926" s="13"/>
      <c r="B926" s="5"/>
      <c r="C926" s="5"/>
      <c r="D926" s="5"/>
      <c r="E926" s="5"/>
      <c r="F926" s="4"/>
      <c r="G926" s="5"/>
      <c r="H926" s="5"/>
      <c r="I926" s="5"/>
      <c r="J926" s="5"/>
    </row>
    <row r="927">
      <c r="A927" s="13"/>
      <c r="B927" s="5"/>
      <c r="C927" s="5"/>
      <c r="D927" s="5"/>
      <c r="E927" s="5"/>
      <c r="F927" s="4"/>
      <c r="G927" s="5"/>
      <c r="H927" s="5"/>
      <c r="I927" s="5"/>
      <c r="J927" s="5"/>
    </row>
    <row r="928">
      <c r="A928" s="13"/>
      <c r="B928" s="5"/>
      <c r="C928" s="5"/>
      <c r="D928" s="5"/>
      <c r="E928" s="5"/>
      <c r="F928" s="4"/>
      <c r="G928" s="5"/>
      <c r="H928" s="5"/>
      <c r="I928" s="5"/>
      <c r="J928" s="5"/>
    </row>
    <row r="929">
      <c r="A929" s="13"/>
      <c r="B929" s="5"/>
      <c r="C929" s="5"/>
      <c r="D929" s="5"/>
      <c r="E929" s="5"/>
      <c r="F929" s="4"/>
      <c r="G929" s="5"/>
      <c r="H929" s="5"/>
      <c r="I929" s="5"/>
      <c r="J929" s="5"/>
    </row>
    <row r="930">
      <c r="A930" s="13"/>
      <c r="B930" s="5"/>
      <c r="C930" s="5"/>
      <c r="D930" s="5"/>
      <c r="E930" s="5"/>
      <c r="F930" s="4"/>
      <c r="G930" s="5"/>
      <c r="H930" s="5"/>
      <c r="I930" s="5"/>
      <c r="J930" s="5"/>
    </row>
    <row r="931">
      <c r="A931" s="13"/>
      <c r="B931" s="5"/>
      <c r="C931" s="5"/>
      <c r="D931" s="5"/>
      <c r="E931" s="5"/>
      <c r="F931" s="4"/>
      <c r="G931" s="5"/>
      <c r="H931" s="5"/>
      <c r="I931" s="5"/>
      <c r="J931" s="5"/>
    </row>
    <row r="932">
      <c r="A932" s="13"/>
      <c r="B932" s="5"/>
      <c r="C932" s="5"/>
      <c r="D932" s="5"/>
      <c r="E932" s="5"/>
      <c r="F932" s="4"/>
      <c r="G932" s="5"/>
      <c r="H932" s="5"/>
      <c r="I932" s="5"/>
      <c r="J932" s="5"/>
    </row>
    <row r="933">
      <c r="A933" s="13"/>
      <c r="B933" s="5"/>
      <c r="C933" s="5"/>
      <c r="D933" s="5"/>
      <c r="E933" s="5"/>
      <c r="F933" s="4"/>
      <c r="G933" s="5"/>
      <c r="H933" s="5"/>
      <c r="I933" s="5"/>
      <c r="J933" s="5"/>
    </row>
    <row r="934">
      <c r="A934" s="13"/>
      <c r="B934" s="5"/>
      <c r="C934" s="5"/>
      <c r="D934" s="5"/>
      <c r="E934" s="5"/>
      <c r="F934" s="4"/>
      <c r="G934" s="5"/>
      <c r="H934" s="5"/>
      <c r="I934" s="5"/>
      <c r="J934" s="5"/>
    </row>
    <row r="935">
      <c r="A935" s="13"/>
      <c r="B935" s="5"/>
      <c r="C935" s="5"/>
      <c r="D935" s="5"/>
      <c r="E935" s="5"/>
      <c r="F935" s="4"/>
      <c r="G935" s="5"/>
      <c r="H935" s="5"/>
      <c r="I935" s="5"/>
      <c r="J935" s="5"/>
    </row>
    <row r="936">
      <c r="A936" s="13"/>
      <c r="B936" s="5"/>
      <c r="C936" s="5"/>
      <c r="D936" s="5"/>
      <c r="E936" s="5"/>
      <c r="F936" s="4"/>
      <c r="G936" s="5"/>
      <c r="H936" s="5"/>
      <c r="I936" s="5"/>
      <c r="J936" s="5"/>
    </row>
    <row r="937">
      <c r="A937" s="13"/>
      <c r="B937" s="5"/>
      <c r="C937" s="5"/>
      <c r="D937" s="5"/>
      <c r="E937" s="5"/>
      <c r="F937" s="4"/>
      <c r="G937" s="5"/>
      <c r="H937" s="5"/>
      <c r="I937" s="5"/>
      <c r="J937" s="5"/>
    </row>
    <row r="938">
      <c r="A938" s="13"/>
      <c r="B938" s="5"/>
      <c r="C938" s="5"/>
      <c r="D938" s="5"/>
      <c r="E938" s="5"/>
      <c r="F938" s="4"/>
      <c r="G938" s="5"/>
      <c r="H938" s="5"/>
      <c r="I938" s="5"/>
      <c r="J938" s="5"/>
    </row>
    <row r="939">
      <c r="A939" s="13"/>
      <c r="B939" s="5"/>
      <c r="C939" s="5"/>
      <c r="D939" s="5"/>
      <c r="E939" s="5"/>
      <c r="F939" s="4"/>
      <c r="G939" s="5"/>
      <c r="H939" s="5"/>
      <c r="I939" s="5"/>
      <c r="J939" s="5"/>
    </row>
    <row r="940">
      <c r="A940" s="13"/>
      <c r="B940" s="5"/>
      <c r="C940" s="5"/>
      <c r="D940" s="5"/>
      <c r="E940" s="5"/>
      <c r="F940" s="4"/>
      <c r="G940" s="5"/>
      <c r="H940" s="5"/>
      <c r="I940" s="5"/>
      <c r="J940" s="5"/>
    </row>
    <row r="941">
      <c r="A941" s="13"/>
      <c r="B941" s="5"/>
      <c r="C941" s="5"/>
      <c r="D941" s="5"/>
      <c r="E941" s="5"/>
      <c r="F941" s="4"/>
      <c r="G941" s="5"/>
      <c r="H941" s="5"/>
      <c r="I941" s="5"/>
      <c r="J941" s="5"/>
    </row>
    <row r="942">
      <c r="A942" s="13"/>
      <c r="B942" s="5"/>
      <c r="C942" s="5"/>
      <c r="D942" s="5"/>
      <c r="E942" s="5"/>
      <c r="F942" s="4"/>
      <c r="G942" s="5"/>
      <c r="H942" s="5"/>
      <c r="I942" s="5"/>
      <c r="J942" s="5"/>
    </row>
    <row r="943">
      <c r="A943" s="13"/>
      <c r="B943" s="5"/>
      <c r="C943" s="5"/>
      <c r="D943" s="5"/>
      <c r="E943" s="5"/>
      <c r="F943" s="4"/>
      <c r="G943" s="5"/>
      <c r="H943" s="5"/>
      <c r="I943" s="5"/>
      <c r="J943" s="5"/>
    </row>
    <row r="944">
      <c r="A944" s="13"/>
      <c r="B944" s="5"/>
      <c r="C944" s="5"/>
      <c r="D944" s="5"/>
      <c r="E944" s="5"/>
      <c r="F944" s="4"/>
      <c r="G944" s="5"/>
      <c r="H944" s="5"/>
      <c r="I944" s="5"/>
      <c r="J944" s="5"/>
    </row>
    <row r="945">
      <c r="A945" s="13"/>
      <c r="B945" s="5"/>
      <c r="C945" s="5"/>
      <c r="D945" s="5"/>
      <c r="E945" s="5"/>
      <c r="F945" s="4"/>
      <c r="G945" s="5"/>
      <c r="H945" s="5"/>
      <c r="I945" s="5"/>
      <c r="J945" s="5"/>
    </row>
    <row r="946">
      <c r="A946" s="13"/>
      <c r="B946" s="5"/>
      <c r="C946" s="5"/>
      <c r="D946" s="5"/>
      <c r="E946" s="5"/>
      <c r="F946" s="4"/>
      <c r="G946" s="5"/>
      <c r="H946" s="5"/>
      <c r="I946" s="5"/>
      <c r="J946" s="5"/>
    </row>
    <row r="947">
      <c r="A947" s="13"/>
      <c r="B947" s="5"/>
      <c r="C947" s="5"/>
      <c r="D947" s="5"/>
      <c r="E947" s="5"/>
      <c r="F947" s="4"/>
      <c r="G947" s="5"/>
      <c r="H947" s="5"/>
      <c r="I947" s="5"/>
      <c r="J947" s="5"/>
    </row>
    <row r="948">
      <c r="A948" s="13"/>
      <c r="B948" s="5"/>
      <c r="C948" s="5"/>
      <c r="D948" s="5"/>
      <c r="E948" s="5"/>
      <c r="F948" s="4"/>
      <c r="G948" s="5"/>
      <c r="H948" s="5"/>
      <c r="I948" s="5"/>
      <c r="J948" s="5"/>
    </row>
    <row r="949">
      <c r="A949" s="13"/>
      <c r="B949" s="5"/>
      <c r="C949" s="5"/>
      <c r="D949" s="5"/>
      <c r="E949" s="5"/>
      <c r="F949" s="4"/>
      <c r="G949" s="5"/>
      <c r="H949" s="5"/>
      <c r="I949" s="5"/>
      <c r="J949" s="5"/>
    </row>
    <row r="950">
      <c r="A950" s="13"/>
      <c r="B950" s="5"/>
      <c r="C950" s="5"/>
      <c r="D950" s="5"/>
      <c r="E950" s="5"/>
      <c r="F950" s="4"/>
      <c r="G950" s="5"/>
      <c r="H950" s="5"/>
      <c r="I950" s="5"/>
      <c r="J950" s="5"/>
    </row>
    <row r="951">
      <c r="A951" s="13"/>
      <c r="B951" s="5"/>
      <c r="C951" s="5"/>
      <c r="D951" s="5"/>
      <c r="E951" s="5"/>
      <c r="F951" s="4"/>
      <c r="G951" s="5"/>
      <c r="H951" s="5"/>
      <c r="I951" s="5"/>
      <c r="J951" s="5"/>
    </row>
    <row r="952">
      <c r="A952" s="13"/>
      <c r="B952" s="5"/>
      <c r="C952" s="5"/>
      <c r="D952" s="5"/>
      <c r="E952" s="5"/>
      <c r="F952" s="4"/>
      <c r="G952" s="5"/>
      <c r="H952" s="5"/>
      <c r="I952" s="5"/>
      <c r="J952" s="5"/>
    </row>
    <row r="953">
      <c r="A953" s="13"/>
      <c r="B953" s="5"/>
      <c r="C953" s="5"/>
      <c r="D953" s="5"/>
      <c r="E953" s="5"/>
      <c r="F953" s="4"/>
      <c r="G953" s="5"/>
      <c r="H953" s="5"/>
      <c r="I953" s="5"/>
      <c r="J953" s="5"/>
    </row>
    <row r="954">
      <c r="A954" s="13"/>
      <c r="B954" s="5"/>
      <c r="C954" s="5"/>
      <c r="D954" s="5"/>
      <c r="E954" s="5"/>
      <c r="F954" s="4"/>
      <c r="G954" s="5"/>
      <c r="H954" s="5"/>
      <c r="I954" s="5"/>
      <c r="J954" s="5"/>
    </row>
    <row r="955">
      <c r="A955" s="13"/>
      <c r="B955" s="5"/>
      <c r="C955" s="5"/>
      <c r="D955" s="5"/>
      <c r="E955" s="5"/>
      <c r="F955" s="4"/>
      <c r="G955" s="5"/>
      <c r="H955" s="5"/>
      <c r="I955" s="5"/>
      <c r="J955" s="5"/>
    </row>
    <row r="956">
      <c r="A956" s="13"/>
      <c r="B956" s="5"/>
      <c r="C956" s="5"/>
      <c r="D956" s="5"/>
      <c r="E956" s="5"/>
      <c r="F956" s="4"/>
      <c r="G956" s="5"/>
      <c r="H956" s="5"/>
      <c r="I956" s="5"/>
      <c r="J956" s="5"/>
    </row>
    <row r="957">
      <c r="A957" s="13"/>
      <c r="B957" s="5"/>
      <c r="C957" s="5"/>
      <c r="D957" s="5"/>
      <c r="E957" s="5"/>
      <c r="F957" s="4"/>
      <c r="G957" s="5"/>
      <c r="H957" s="5"/>
      <c r="I957" s="5"/>
      <c r="J957" s="5"/>
    </row>
    <row r="958">
      <c r="A958" s="13"/>
      <c r="B958" s="5"/>
      <c r="C958" s="5"/>
      <c r="D958" s="5"/>
      <c r="E958" s="5"/>
      <c r="F958" s="4"/>
      <c r="G958" s="5"/>
      <c r="H958" s="5"/>
      <c r="I958" s="5"/>
      <c r="J958" s="5"/>
    </row>
    <row r="959">
      <c r="A959" s="13"/>
      <c r="B959" s="5"/>
      <c r="C959" s="5"/>
      <c r="D959" s="5"/>
      <c r="E959" s="5"/>
      <c r="F959" s="4"/>
      <c r="G959" s="5"/>
      <c r="H959" s="5"/>
      <c r="I959" s="5"/>
      <c r="J959" s="5"/>
    </row>
    <row r="960">
      <c r="A960" s="13"/>
      <c r="B960" s="5"/>
      <c r="C960" s="5"/>
      <c r="D960" s="5"/>
      <c r="E960" s="5"/>
      <c r="F960" s="4"/>
      <c r="G960" s="5"/>
      <c r="H960" s="5"/>
      <c r="I960" s="5"/>
      <c r="J960" s="5"/>
    </row>
    <row r="961">
      <c r="A961" s="13"/>
      <c r="B961" s="5"/>
      <c r="C961" s="5"/>
      <c r="D961" s="5"/>
      <c r="E961" s="5"/>
      <c r="F961" s="4"/>
      <c r="G961" s="5"/>
      <c r="H961" s="5"/>
      <c r="I961" s="5"/>
      <c r="J961" s="5"/>
    </row>
    <row r="962">
      <c r="A962" s="13"/>
      <c r="B962" s="5"/>
      <c r="C962" s="5"/>
      <c r="D962" s="5"/>
      <c r="E962" s="5"/>
      <c r="F962" s="4"/>
      <c r="G962" s="5"/>
      <c r="H962" s="5"/>
      <c r="I962" s="5"/>
      <c r="J962" s="5"/>
    </row>
    <row r="963">
      <c r="A963" s="13"/>
      <c r="B963" s="5"/>
      <c r="C963" s="5"/>
      <c r="D963" s="5"/>
      <c r="E963" s="5"/>
      <c r="F963" s="4"/>
      <c r="G963" s="5"/>
      <c r="H963" s="5"/>
      <c r="I963" s="5"/>
      <c r="J963" s="5"/>
    </row>
    <row r="964">
      <c r="A964" s="13"/>
      <c r="B964" s="5"/>
      <c r="C964" s="5"/>
      <c r="D964" s="5"/>
      <c r="E964" s="5"/>
      <c r="F964" s="4"/>
      <c r="G964" s="5"/>
      <c r="H964" s="5"/>
      <c r="I964" s="5"/>
      <c r="J964" s="5"/>
    </row>
    <row r="965">
      <c r="A965" s="13"/>
      <c r="B965" s="5"/>
      <c r="C965" s="5"/>
      <c r="D965" s="5"/>
      <c r="E965" s="5"/>
      <c r="F965" s="4"/>
      <c r="G965" s="5"/>
      <c r="H965" s="5"/>
      <c r="I965" s="5"/>
      <c r="J965" s="5"/>
    </row>
    <row r="966">
      <c r="A966" s="13"/>
      <c r="B966" s="5"/>
      <c r="C966" s="5"/>
      <c r="D966" s="5"/>
      <c r="E966" s="5"/>
      <c r="F966" s="4"/>
      <c r="G966" s="5"/>
      <c r="H966" s="5"/>
      <c r="I966" s="5"/>
      <c r="J966" s="5"/>
    </row>
    <row r="967">
      <c r="A967" s="13"/>
      <c r="B967" s="5"/>
      <c r="C967" s="5"/>
      <c r="D967" s="5"/>
      <c r="E967" s="5"/>
      <c r="F967" s="4"/>
      <c r="G967" s="5"/>
      <c r="H967" s="5"/>
      <c r="I967" s="5"/>
      <c r="J967" s="5"/>
    </row>
    <row r="968">
      <c r="A968" s="13"/>
      <c r="B968" s="5"/>
      <c r="C968" s="5"/>
      <c r="D968" s="5"/>
      <c r="E968" s="5"/>
      <c r="F968" s="4"/>
      <c r="G968" s="5"/>
      <c r="H968" s="5"/>
      <c r="I968" s="5"/>
      <c r="J968" s="5"/>
    </row>
    <row r="969">
      <c r="A969" s="13"/>
      <c r="B969" s="5"/>
      <c r="C969" s="5"/>
      <c r="D969" s="5"/>
      <c r="E969" s="5"/>
      <c r="F969" s="4"/>
      <c r="G969" s="5"/>
      <c r="H969" s="5"/>
      <c r="I969" s="5"/>
      <c r="J969" s="5"/>
    </row>
    <row r="970">
      <c r="A970" s="13"/>
      <c r="B970" s="5"/>
      <c r="C970" s="5"/>
      <c r="D970" s="5"/>
      <c r="E970" s="5"/>
      <c r="F970" s="4"/>
      <c r="G970" s="5"/>
      <c r="H970" s="5"/>
      <c r="I970" s="5"/>
      <c r="J970" s="5"/>
    </row>
    <row r="971">
      <c r="A971" s="13"/>
      <c r="B971" s="5"/>
      <c r="C971" s="5"/>
      <c r="D971" s="5"/>
      <c r="E971" s="5"/>
      <c r="F971" s="4"/>
      <c r="G971" s="5"/>
      <c r="H971" s="5"/>
      <c r="I971" s="5"/>
      <c r="J971" s="5"/>
    </row>
    <row r="972">
      <c r="A972" s="13"/>
      <c r="B972" s="5"/>
      <c r="C972" s="5"/>
      <c r="D972" s="5"/>
      <c r="E972" s="5"/>
      <c r="F972" s="4"/>
      <c r="G972" s="5"/>
      <c r="H972" s="5"/>
      <c r="I972" s="5"/>
      <c r="J972" s="5"/>
    </row>
    <row r="973">
      <c r="A973" s="13"/>
      <c r="B973" s="5"/>
      <c r="C973" s="5"/>
      <c r="D973" s="5"/>
      <c r="E973" s="5"/>
      <c r="F973" s="4"/>
      <c r="G973" s="5"/>
      <c r="H973" s="5"/>
      <c r="I973" s="5"/>
      <c r="J973" s="5"/>
    </row>
    <row r="974">
      <c r="A974" s="13"/>
      <c r="B974" s="5"/>
      <c r="C974" s="5"/>
      <c r="D974" s="5"/>
      <c r="E974" s="5"/>
      <c r="F974" s="4"/>
      <c r="G974" s="5"/>
      <c r="H974" s="5"/>
      <c r="I974" s="5"/>
      <c r="J974" s="5"/>
    </row>
    <row r="975">
      <c r="A975" s="13"/>
      <c r="B975" s="5"/>
      <c r="C975" s="5"/>
      <c r="D975" s="5"/>
      <c r="E975" s="5"/>
      <c r="F975" s="4"/>
      <c r="G975" s="5"/>
      <c r="H975" s="5"/>
      <c r="I975" s="5"/>
      <c r="J975" s="5"/>
    </row>
    <row r="976">
      <c r="A976" s="13"/>
      <c r="B976" s="5"/>
      <c r="C976" s="5"/>
      <c r="D976" s="5"/>
      <c r="E976" s="5"/>
      <c r="F976" s="4"/>
      <c r="G976" s="5"/>
      <c r="H976" s="5"/>
      <c r="I976" s="5"/>
      <c r="J976" s="5"/>
    </row>
    <row r="977">
      <c r="A977" s="13"/>
      <c r="B977" s="5"/>
      <c r="C977" s="5"/>
      <c r="D977" s="5"/>
      <c r="E977" s="5"/>
      <c r="F977" s="4"/>
      <c r="G977" s="5"/>
      <c r="H977" s="5"/>
      <c r="I977" s="5"/>
      <c r="J977" s="5"/>
    </row>
    <row r="978">
      <c r="A978" s="13"/>
      <c r="B978" s="5"/>
      <c r="C978" s="5"/>
      <c r="D978" s="5"/>
      <c r="E978" s="5"/>
      <c r="F978" s="4"/>
      <c r="G978" s="5"/>
      <c r="H978" s="5"/>
      <c r="I978" s="5"/>
      <c r="J978" s="5"/>
    </row>
    <row r="979">
      <c r="A979" s="13"/>
      <c r="B979" s="5"/>
      <c r="C979" s="5"/>
      <c r="D979" s="5"/>
      <c r="E979" s="5"/>
      <c r="F979" s="4"/>
      <c r="G979" s="5"/>
      <c r="H979" s="5"/>
      <c r="I979" s="5"/>
      <c r="J979" s="5"/>
    </row>
    <row r="980">
      <c r="A980" s="13"/>
      <c r="B980" s="5"/>
      <c r="C980" s="5"/>
      <c r="D980" s="5"/>
      <c r="E980" s="5"/>
      <c r="F980" s="4"/>
      <c r="G980" s="5"/>
      <c r="H980" s="5"/>
      <c r="I980" s="5"/>
      <c r="J980" s="5"/>
    </row>
    <row r="981">
      <c r="A981" s="13"/>
      <c r="B981" s="5"/>
      <c r="C981" s="5"/>
      <c r="D981" s="5"/>
      <c r="E981" s="5"/>
      <c r="F981" s="4"/>
      <c r="G981" s="5"/>
      <c r="H981" s="5"/>
      <c r="I981" s="5"/>
      <c r="J981" s="5"/>
    </row>
    <row r="982">
      <c r="A982" s="13"/>
      <c r="B982" s="5"/>
      <c r="C982" s="5"/>
      <c r="D982" s="5"/>
      <c r="E982" s="5"/>
      <c r="F982" s="4"/>
      <c r="G982" s="5"/>
      <c r="H982" s="5"/>
      <c r="I982" s="5"/>
      <c r="J982" s="5"/>
    </row>
    <row r="983">
      <c r="A983" s="13"/>
      <c r="B983" s="5"/>
      <c r="C983" s="5"/>
      <c r="D983" s="5"/>
      <c r="E983" s="5"/>
      <c r="F983" s="4"/>
      <c r="G983" s="5"/>
      <c r="H983" s="5"/>
      <c r="I983" s="5"/>
      <c r="J983" s="5"/>
    </row>
    <row r="984">
      <c r="A984" s="13"/>
      <c r="B984" s="5"/>
      <c r="C984" s="5"/>
      <c r="D984" s="5"/>
      <c r="E984" s="5"/>
      <c r="F984" s="4"/>
      <c r="G984" s="5"/>
      <c r="H984" s="5"/>
      <c r="I984" s="5"/>
      <c r="J984" s="5"/>
    </row>
    <row r="985">
      <c r="A985" s="13"/>
      <c r="B985" s="5"/>
      <c r="C985" s="5"/>
      <c r="D985" s="5"/>
      <c r="E985" s="5"/>
      <c r="F985" s="4"/>
      <c r="G985" s="5"/>
      <c r="H985" s="5"/>
      <c r="I985" s="5"/>
      <c r="J985" s="5"/>
    </row>
    <row r="986">
      <c r="A986" s="13"/>
      <c r="B986" s="5"/>
      <c r="C986" s="5"/>
      <c r="D986" s="5"/>
      <c r="E986" s="5"/>
      <c r="F986" s="4"/>
      <c r="G986" s="5"/>
      <c r="H986" s="5"/>
      <c r="I986" s="5"/>
      <c r="J986" s="5"/>
    </row>
    <row r="987">
      <c r="A987" s="13"/>
      <c r="B987" s="5"/>
      <c r="C987" s="5"/>
      <c r="D987" s="5"/>
      <c r="E987" s="5"/>
      <c r="F987" s="4"/>
      <c r="G987" s="5"/>
      <c r="H987" s="5"/>
      <c r="I987" s="5"/>
      <c r="J987" s="5"/>
    </row>
    <row r="988">
      <c r="A988" s="13"/>
      <c r="B988" s="5"/>
      <c r="C988" s="5"/>
      <c r="D988" s="5"/>
      <c r="E988" s="5"/>
      <c r="F988" s="4"/>
      <c r="G988" s="5"/>
      <c r="H988" s="5"/>
      <c r="I988" s="5"/>
      <c r="J988" s="5"/>
    </row>
    <row r="989">
      <c r="A989" s="13"/>
      <c r="B989" s="5"/>
      <c r="C989" s="5"/>
      <c r="D989" s="5"/>
      <c r="E989" s="5"/>
      <c r="F989" s="4"/>
      <c r="G989" s="5"/>
      <c r="H989" s="5"/>
      <c r="I989" s="5"/>
      <c r="J989" s="5"/>
    </row>
    <row r="990">
      <c r="A990" s="13"/>
      <c r="B990" s="5"/>
      <c r="C990" s="5"/>
      <c r="D990" s="5"/>
      <c r="E990" s="5"/>
      <c r="F990" s="4"/>
      <c r="G990" s="5"/>
      <c r="H990" s="5"/>
      <c r="I990" s="5"/>
      <c r="J990" s="5"/>
    </row>
    <row r="991">
      <c r="A991" s="13"/>
      <c r="B991" s="5"/>
      <c r="C991" s="5"/>
      <c r="D991" s="5"/>
      <c r="E991" s="5"/>
      <c r="F991" s="4"/>
      <c r="G991" s="5"/>
      <c r="H991" s="5"/>
      <c r="I991" s="5"/>
      <c r="J991" s="5"/>
    </row>
    <row r="992">
      <c r="A992" s="13"/>
      <c r="B992" s="5"/>
      <c r="C992" s="5"/>
      <c r="D992" s="5"/>
      <c r="E992" s="5"/>
      <c r="F992" s="4"/>
      <c r="G992" s="5"/>
      <c r="H992" s="5"/>
      <c r="I992" s="5"/>
      <c r="J992" s="5"/>
    </row>
    <row r="993">
      <c r="A993" s="13"/>
      <c r="B993" s="5"/>
      <c r="C993" s="5"/>
      <c r="D993" s="5"/>
      <c r="E993" s="5"/>
      <c r="F993" s="4"/>
      <c r="G993" s="5"/>
      <c r="H993" s="5"/>
      <c r="I993" s="5"/>
      <c r="J993" s="5"/>
    </row>
    <row r="994">
      <c r="A994" s="13"/>
      <c r="B994" s="5"/>
      <c r="C994" s="5"/>
      <c r="D994" s="5"/>
      <c r="E994" s="5"/>
      <c r="F994" s="4"/>
      <c r="G994" s="5"/>
      <c r="H994" s="5"/>
      <c r="I994" s="5"/>
      <c r="J994" s="5"/>
    </row>
    <row r="995">
      <c r="A995" s="13"/>
      <c r="B995" s="5"/>
      <c r="C995" s="5"/>
      <c r="D995" s="5"/>
      <c r="E995" s="5"/>
      <c r="F995" s="4"/>
      <c r="G995" s="5"/>
      <c r="H995" s="5"/>
      <c r="I995" s="5"/>
      <c r="J995" s="5"/>
    </row>
    <row r="996">
      <c r="A996" s="13"/>
      <c r="B996" s="5"/>
      <c r="C996" s="5"/>
      <c r="D996" s="5"/>
      <c r="E996" s="5"/>
      <c r="F996" s="4"/>
      <c r="G996" s="5"/>
      <c r="H996" s="5"/>
      <c r="I996" s="5"/>
      <c r="J996" s="5"/>
    </row>
    <row r="997">
      <c r="A997" s="13"/>
      <c r="B997" s="5"/>
      <c r="C997" s="5"/>
      <c r="D997" s="5"/>
      <c r="E997" s="5"/>
      <c r="F997" s="4"/>
      <c r="G997" s="5"/>
      <c r="H997" s="5"/>
      <c r="I997" s="5"/>
      <c r="J997" s="5"/>
    </row>
    <row r="998">
      <c r="A998" s="13"/>
      <c r="B998" s="5"/>
      <c r="C998" s="5"/>
      <c r="D998" s="5"/>
      <c r="E998" s="5"/>
      <c r="F998" s="4"/>
      <c r="G998" s="5"/>
      <c r="H998" s="5"/>
      <c r="I998" s="5"/>
      <c r="J998" s="5"/>
    </row>
    <row r="999">
      <c r="A999" s="13"/>
      <c r="B999" s="5"/>
      <c r="C999" s="5"/>
      <c r="D999" s="5"/>
      <c r="E999" s="5"/>
      <c r="F999" s="4"/>
      <c r="G999" s="5"/>
      <c r="H999" s="5"/>
      <c r="I999" s="5"/>
      <c r="J999" s="5"/>
    </row>
    <row r="1000">
      <c r="A1000" s="13"/>
      <c r="B1000" s="5"/>
      <c r="C1000" s="5"/>
      <c r="D1000" s="5"/>
      <c r="E1000" s="5"/>
      <c r="F1000" s="4"/>
      <c r="G1000" s="5"/>
      <c r="H1000" s="5"/>
      <c r="I1000" s="5"/>
      <c r="J1000" s="5"/>
    </row>
    <row r="1001">
      <c r="A1001" s="13"/>
      <c r="B1001" s="5"/>
      <c r="C1001" s="5"/>
      <c r="D1001" s="5"/>
      <c r="E1001" s="5"/>
      <c r="F1001" s="4"/>
      <c r="G1001" s="5"/>
      <c r="H1001" s="5"/>
      <c r="I1001" s="5"/>
      <c r="J1001" s="5"/>
    </row>
    <row r="1002">
      <c r="A1002" s="13"/>
      <c r="B1002" s="5"/>
      <c r="C1002" s="5"/>
      <c r="D1002" s="5"/>
      <c r="E1002" s="5"/>
      <c r="F1002" s="4"/>
      <c r="G1002" s="5"/>
      <c r="H1002" s="5"/>
      <c r="I1002" s="5"/>
      <c r="J1002" s="5"/>
    </row>
    <row r="1003">
      <c r="A1003" s="13"/>
      <c r="B1003" s="5"/>
      <c r="C1003" s="5"/>
      <c r="D1003" s="5"/>
      <c r="E1003" s="5"/>
      <c r="F1003" s="4"/>
      <c r="G1003" s="5"/>
      <c r="H1003" s="5"/>
      <c r="I1003" s="5"/>
      <c r="J1003" s="5"/>
    </row>
    <row r="1004">
      <c r="A1004" s="13"/>
      <c r="B1004" s="5"/>
      <c r="C1004" s="5"/>
      <c r="D1004" s="5"/>
      <c r="E1004" s="5"/>
      <c r="F1004" s="4"/>
      <c r="G1004" s="5"/>
      <c r="H1004" s="5"/>
      <c r="I1004" s="5"/>
      <c r="J1004" s="5"/>
    </row>
    <row r="1005">
      <c r="A1005" s="13"/>
      <c r="B1005" s="5"/>
      <c r="C1005" s="5"/>
      <c r="D1005" s="5"/>
      <c r="E1005" s="5"/>
      <c r="F1005" s="4"/>
      <c r="G1005" s="5"/>
      <c r="H1005" s="5"/>
      <c r="I1005" s="5"/>
      <c r="J1005" s="5"/>
    </row>
    <row r="1006">
      <c r="A1006" s="13"/>
      <c r="B1006" s="5"/>
      <c r="C1006" s="5"/>
      <c r="D1006" s="5"/>
      <c r="E1006" s="5"/>
      <c r="F1006" s="4"/>
      <c r="G1006" s="5"/>
      <c r="H1006" s="5"/>
      <c r="I1006" s="5"/>
      <c r="J1006" s="5"/>
    </row>
    <row r="1007">
      <c r="A1007" s="13"/>
      <c r="B1007" s="5"/>
      <c r="C1007" s="5"/>
      <c r="D1007" s="5"/>
      <c r="E1007" s="5"/>
      <c r="F1007" s="4"/>
      <c r="G1007" s="5"/>
      <c r="H1007" s="5"/>
      <c r="I1007" s="5"/>
      <c r="J1007" s="5"/>
    </row>
  </sheetData>
  <mergeCells count="24">
    <mergeCell ref="U1:X1"/>
    <mergeCell ref="AG1:AK1"/>
    <mergeCell ref="G3:J3"/>
    <mergeCell ref="L3:O3"/>
    <mergeCell ref="U3:Y3"/>
    <mergeCell ref="AA3:AE3"/>
    <mergeCell ref="AG3:AL3"/>
    <mergeCell ref="L29:O29"/>
    <mergeCell ref="U29:Y29"/>
    <mergeCell ref="B42:E42"/>
    <mergeCell ref="G42:J42"/>
    <mergeCell ref="L42:O42"/>
    <mergeCell ref="U42:Y42"/>
    <mergeCell ref="AA42:AE42"/>
    <mergeCell ref="AG42:AL42"/>
    <mergeCell ref="AA29:AE29"/>
    <mergeCell ref="AG29:AL29"/>
    <mergeCell ref="B3:E3"/>
    <mergeCell ref="B16:E16"/>
    <mergeCell ref="L16:O16"/>
    <mergeCell ref="U16:Y16"/>
    <mergeCell ref="AA16:AE16"/>
    <mergeCell ref="AG16:AL16"/>
    <mergeCell ref="B29:E29"/>
  </mergeCells>
  <conditionalFormatting sqref="C30:E35">
    <cfRule type="expression" dxfId="0" priority="1">
      <formula>C30&lt;B30</formula>
    </cfRule>
  </conditionalFormatting>
  <conditionalFormatting sqref="L12:O12 AA12:AE12 B14:E14 L25:O25 AA25:AE25 B27:E27 L38:O38 AA38:AE38 B40:E40 B51:J51 L51:O51 AA51:AE51">
    <cfRule type="cellIs" dxfId="1" priority="2" operator="lessThan">
      <formula>0.01</formula>
    </cfRule>
  </conditionalFormatting>
  <conditionalFormatting sqref="L12:O12 AA12:AE12 B14:E14 L25:O25 AA25:AE25 B27:E27 L38:O38 AA38:AE38 B40:E40 B51:J51 L51:O51 AA51:AE51">
    <cfRule type="cellIs" dxfId="2" priority="3" operator="lessThan">
      <formula>0.05</formula>
    </cfRule>
  </conditionalFormatting>
  <hyperlinks>
    <hyperlink display="#WALSUI-volume-4-burst-0.8-sample-0.12-grouped" location="#WALSUI-volume-4-burst-0.8-samp!A1" ref="G4"/>
    <hyperlink display="#WALSUI-volume-8-burst-0.8-sample-0.29-grouped" location="#WALSUI-volume-8-burst-0.8-samp!A1" ref="H4"/>
    <hyperlink display="#WALSUI-volume-9-burst-0.8-sample-0.57-grouped" location="#WALSUI-volume-9-burst-0.8-samp!A1" ref="I4"/>
    <hyperlink display="#WALSUI-volume-10-burst-0.7-grouped" location="#WALSUI-volume-10-burst-0.7-gro!A1" ref="J4"/>
    <hyperlink display="#TURITA-volume-4-burst-0.8-sample-0.09-grouped" location="#TURITA-volume-4-burst-0.8-samp!A1" ref="G5"/>
    <hyperlink display="#TURITA-volume-10-burst-0.6-sample-0.23-grouped" location="#TURITA-volume-10-burst-0.6-sam!A1" ref="H5"/>
    <hyperlink display="#TURITA-volume-14-burst-0.5-sample-0.46-grouped" location="#TURITA-volume-14-burst-0.5-sam!A1" ref="I5"/>
    <hyperlink display="#TURITA-volume-15-burst-0.6-grouped" location="#TURITA-volume-15-burst-0.6-gro!A1" ref="J5"/>
    <hyperlink display="#SOUARS-volume-4-burst-0.8-sample-0.10-grouped" location="#SOUARS-volume-4-burst-0.8-samp!A1" ref="G6"/>
    <hyperlink display="#SOUARS-volume-8-burst-0.6-sample-0.26-grouped" location="#SOUARS-volume-8-burst-0.6-samp!A1" ref="H6"/>
    <hyperlink display="#SOUARS-volume-12-burst-0.6-sample-0.51-grouped" location="#SOUARS-volume-12-burst-0.6-sam!A1" ref="I6"/>
    <hyperlink display="#SOUARS-volume-15-burst-0.7-grouped" location="#SOUARS-volume-15-burst-0.7-gro!A1" ref="J6"/>
    <hyperlink display="#LEIMUN-volume-4-burst-0.8-sample-0.05-grouped" location="#LEIMUN-volume-4-burst-0.8-samp!A1" ref="G7"/>
    <hyperlink display="#LEIMUN-volume-10-burst-0.6-sample-0.12-grouped" location="#LEIMUN-volume-10-burst-0.6-sam!A1" ref="H7"/>
    <hyperlink display="#LEIMUN-volume-14-burst-0.6-sample-0.24-grouped" location="#LEIMUN-volume-14-burst-0.6-sam!A1" ref="I7"/>
    <hyperlink display="#LEIMUN-volume-30-burst-0.6-grouped" location="#LEIMUN-volume-30-burst-0.6-gro!A1" ref="J7"/>
    <hyperlink display="#SCOCZE-volume-3-burst-0.8-sample-0.08-grouped" location="#SCOCZE-volume-3-burst-0.8-samp!A1" ref="G8"/>
    <hyperlink display="#SCOCZE-volume-5-burst-0.8-sample-0.21-grouped" location="#SCOCZE-volume-5-burst-0.8-samp!A1" ref="H8"/>
    <hyperlink display="#SCOCZE-volume-9-burst-0.6-sample-0.42-grouped" location="#SCOCZE-volume-9-burst-0.6-samp!A1" ref="I8"/>
    <hyperlink display="#SCOCZE-volume-15-burst-0.7-grouped" location="#SCOCZE-volume-15-burst-0.7-gro!A1" ref="J8"/>
    <hyperlink display="#HUNFRA-volume-3-burst-0.8-sample-0.08-grouped" location="#HUNFRA-volume-3-burst-0.8-samp!A1" ref="G9"/>
    <hyperlink display="#HUNFRA-volume-7-burst-0.8-sample-0.20-grouped" location="#HUNFRA-volume-7-burst-0.8-samp!A1" ref="H9"/>
    <hyperlink display="#HUNFRA-volume-14-burst-0.5-sample-0.41-grouped" location="#HUNFRA-volume-14-burst-0.5-sam!A1" ref="I9"/>
    <hyperlink display="#HUNFRA-volume-15-burst-0.7-grouped" location="#HUNFRA-volume-15-burst-0.7-gro!A1" ref="J9"/>
  </hyperlink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8.88"/>
    <col customWidth="1" min="7" max="7" width="20.38"/>
    <col customWidth="1" min="8" max="9" width="21.0"/>
    <col customWidth="1" min="10" max="10" width="20.38"/>
    <col customWidth="1" min="13" max="13" width="10.0"/>
    <col customWidth="1" min="14" max="14" width="8.0"/>
    <col customWidth="1" min="22" max="22" width="16.38"/>
    <col customWidth="1" min="23" max="23" width="17.0"/>
  </cols>
  <sheetData>
    <row r="1">
      <c r="A1" s="1"/>
      <c r="B1" s="2"/>
      <c r="C1" s="2"/>
      <c r="D1" s="2"/>
      <c r="E1" s="3"/>
      <c r="F1" s="5"/>
      <c r="G1" s="2"/>
      <c r="H1" s="2"/>
      <c r="I1" s="2"/>
      <c r="J1" s="3"/>
      <c r="K1" s="5"/>
      <c r="L1" s="6"/>
      <c r="M1" s="6"/>
      <c r="N1" s="6"/>
      <c r="O1" s="6"/>
      <c r="P1" s="7"/>
      <c r="Q1" s="7"/>
      <c r="R1" s="7"/>
      <c r="S1" s="7"/>
      <c r="T1" s="7"/>
      <c r="U1" s="8" t="s">
        <v>0</v>
      </c>
      <c r="Y1" s="5"/>
      <c r="Z1" s="5"/>
      <c r="AA1" s="5"/>
      <c r="AB1" s="9"/>
      <c r="AC1" s="5"/>
      <c r="AD1" s="5"/>
      <c r="AE1" s="5"/>
      <c r="AF1" s="5"/>
      <c r="AG1" s="10" t="s">
        <v>1</v>
      </c>
      <c r="AL1" s="5"/>
      <c r="AM1" s="5"/>
    </row>
    <row r="2">
      <c r="A2" s="1"/>
      <c r="B2" s="2">
        <v>10000.0</v>
      </c>
      <c r="C2" s="2">
        <v>25000.0</v>
      </c>
      <c r="D2" s="2">
        <v>50000.0</v>
      </c>
      <c r="E2" s="11" t="s">
        <v>2</v>
      </c>
      <c r="F2" s="5"/>
      <c r="G2" s="2">
        <v>10000.0</v>
      </c>
      <c r="H2" s="2">
        <v>25000.0</v>
      </c>
      <c r="I2" s="2">
        <v>50000.0</v>
      </c>
      <c r="J2" s="3">
        <v>1.0</v>
      </c>
      <c r="K2" s="5"/>
      <c r="L2" s="6" t="str">
        <f t="array" ref="L2:O2">TRANSPOSE(INDEX(INDIRECT(INDEX($J$4,0) &amp; "!$A$14:$A$17"),0))</f>
        <v>Goal</v>
      </c>
      <c r="M2" s="6" t="s">
        <v>3</v>
      </c>
      <c r="N2" s="6" t="s">
        <v>4</v>
      </c>
      <c r="O2" s="6" t="s">
        <v>5</v>
      </c>
      <c r="P2" s="11" t="s">
        <v>6</v>
      </c>
      <c r="Q2" s="11" t="s">
        <v>7</v>
      </c>
      <c r="R2" s="11" t="s">
        <v>8</v>
      </c>
      <c r="S2" s="11" t="s">
        <v>9</v>
      </c>
      <c r="T2" s="7"/>
      <c r="U2" s="6" t="str">
        <f t="array" ref="U2:X2">TRANSPOSE(INDEX(INDIRECT(INDEX($J$4,0) &amp; "!$A$14:$A$17"),0))</f>
        <v>Goal</v>
      </c>
      <c r="V2" s="12" t="s">
        <v>3</v>
      </c>
      <c r="W2" s="12" t="s">
        <v>4</v>
      </c>
      <c r="X2" s="6" t="s">
        <v>5</v>
      </c>
      <c r="Y2" s="13" t="s">
        <v>10</v>
      </c>
      <c r="Z2" s="5"/>
      <c r="AA2" s="6" t="str">
        <f t="array" ref="AA2:AE2">TRANSPOSE(INDEX(INDIRECT(INDEX($J$4,0) &amp; "!$A$2:$A$6"),0))</f>
        <v>Redundant</v>
      </c>
      <c r="AB2" s="6" t="s">
        <v>11</v>
      </c>
      <c r="AC2" s="14" t="s">
        <v>12</v>
      </c>
      <c r="AD2" s="6" t="s">
        <v>13</v>
      </c>
      <c r="AE2" s="6" t="s">
        <v>14</v>
      </c>
      <c r="AF2" s="5"/>
      <c r="AG2" s="6" t="str">
        <f t="array" ref="AG2:AK2">TRANSPOSE(INDEX(INDIRECT(INDEX($J$4,0) &amp; "!$A$2:$A$6"),0))</f>
        <v>Redundant</v>
      </c>
      <c r="AH2" s="13" t="s">
        <v>11</v>
      </c>
      <c r="AI2" s="13" t="s">
        <v>12</v>
      </c>
      <c r="AJ2" s="13" t="s">
        <v>13</v>
      </c>
      <c r="AK2" s="13" t="s">
        <v>14</v>
      </c>
      <c r="AL2" s="5"/>
      <c r="AM2" s="5"/>
    </row>
    <row r="3">
      <c r="A3" s="1"/>
      <c r="B3" s="15" t="s">
        <v>15</v>
      </c>
      <c r="F3" s="5"/>
      <c r="G3" s="8" t="s">
        <v>16</v>
      </c>
      <c r="K3" s="5"/>
      <c r="L3" s="16">
        <v>1.0</v>
      </c>
      <c r="P3" s="5"/>
      <c r="Q3" s="5"/>
      <c r="R3" s="5"/>
      <c r="S3" s="5"/>
      <c r="T3" s="5"/>
      <c r="U3" s="16">
        <v>1.0</v>
      </c>
      <c r="Z3" s="5"/>
      <c r="AA3" s="16">
        <v>1.0</v>
      </c>
      <c r="AF3" s="5"/>
      <c r="AG3" s="16">
        <v>1.0</v>
      </c>
      <c r="AM3" s="5"/>
    </row>
    <row r="4">
      <c r="A4" s="1" t="s">
        <v>17</v>
      </c>
      <c r="B4" s="17">
        <f t="array" ref="B4">IFERROR(INDEX(INDIRECT(INDEX($G$4,0) &amp; "!$D$8"),0))</f>
        <v>1</v>
      </c>
      <c r="C4" s="17">
        <f t="array" ref="C4">IFERROR(INDEX(INDIRECT(INDEX($H$4,0) &amp; "!$D$8"),0))</f>
        <v>0.7142857143</v>
      </c>
      <c r="D4" s="17">
        <f t="array" ref="D4">IFERROR(INDEX(INDIRECT(INDEX($I$4,0) &amp; "!$D$8"),0))</f>
        <v>0.6666666667</v>
      </c>
      <c r="E4" s="17">
        <f t="array" ref="E4">INDEX(INDIRECT(INDEX($J$4,0) &amp; "!$D$8"),0)</f>
        <v>0.6551724138</v>
      </c>
      <c r="F4" s="30"/>
      <c r="G4" s="58" t="s">
        <v>59</v>
      </c>
      <c r="H4" s="58" t="s">
        <v>60</v>
      </c>
      <c r="I4" s="58" t="s">
        <v>61</v>
      </c>
      <c r="J4" s="58" t="s">
        <v>62</v>
      </c>
      <c r="L4" s="17">
        <f t="array" ref="L4">INDEX(INDIRECT(INDEX($J$4,0) &amp; "!$D$14"),0)</f>
        <v>1</v>
      </c>
      <c r="M4" s="17">
        <f t="array" ref="M4">INDEX(INDIRECT(INDEX($J$4,0) &amp; "!$D$15"),0)</f>
        <v>0.6666666667</v>
      </c>
      <c r="N4" s="17">
        <f t="array" ref="N4">INDEX(INDIRECT(INDEX($J$4,0) &amp; "!$D$16"),0)</f>
        <v>0.25</v>
      </c>
      <c r="O4" s="17">
        <f t="array" ref="O4">INDEX(INDIRECT(INDEX($J$4,0) &amp; "!$D$17"),0)</f>
        <v>0.5</v>
      </c>
      <c r="P4" s="20">
        <f t="array" ref="P4">SUM(L4:O4*U4:X4)/Y4</f>
        <v>0.5714285714</v>
      </c>
      <c r="Q4" s="21">
        <f t="array" ref="Q4">SUM(L4:N4*U4:W4)/SUM(U4:W4)</f>
        <v>0.6</v>
      </c>
      <c r="R4" s="17">
        <f t="shared" ref="R4:R9" si="1">(L4*U4+M4*V4+O4*X4)/(U4+V4+X4)</f>
        <v>0.7</v>
      </c>
      <c r="S4" s="21">
        <f t="array" ref="S4">SUM(L4:M4*U4:V4)/SUM(U4:V4)</f>
        <v>0.8333333333</v>
      </c>
      <c r="T4" s="22"/>
      <c r="U4" s="23">
        <f t="array" ref="U4">INDEX(INDIRECT(INDEX($J$4,0) &amp; "!$C$14"),0)</f>
        <v>3</v>
      </c>
      <c r="V4" s="23">
        <f t="array" ref="V4">INDEX(INDIRECT(INDEX($J$4,0) &amp; "!$C$15"),0)</f>
        <v>3</v>
      </c>
      <c r="W4" s="23">
        <f t="array" ref="W4">INDEX(INDIRECT(INDEX($J$4,0) &amp; "!$C$16"),0)</f>
        <v>4</v>
      </c>
      <c r="X4" s="23">
        <f t="array" ref="X4">INDEX(INDIRECT(INDEX($J$4,0) &amp; "!$C$17"),0)</f>
        <v>4</v>
      </c>
      <c r="Y4" s="24">
        <f t="shared" ref="Y4:Y10" si="2">SUM(U4:X4)</f>
        <v>14</v>
      </c>
      <c r="AA4" s="17">
        <f t="array" ref="AA4">INDEX(INDIRECT(INDEX($J$4,0) &amp; "!$D$2"),0)</f>
        <v>0.03448275862</v>
      </c>
      <c r="AB4" s="17">
        <f t="array" ref="AB4">INDEX(INDIRECT(INDEX($J$4,0) &amp; "!$D$3"),0)</f>
        <v>0.2068965517</v>
      </c>
      <c r="AC4" s="17">
        <f t="array" ref="AC4">INDEX(INDIRECT(INDEX($J$4,0) &amp; "!$D$4"),0)</f>
        <v>0.1034482759</v>
      </c>
      <c r="AD4" s="17">
        <f t="array" ref="AD4">INDEX(INDIRECT(INDEX($J$4,0) &amp; "!$D$5"),0)</f>
        <v>0.275862069</v>
      </c>
      <c r="AE4" s="17">
        <f t="array" ref="AE4">INDEX(INDIRECT(INDEX($J$4,0) &amp; "!$D$6"),0)</f>
        <v>0.3793103448</v>
      </c>
      <c r="AG4" s="25">
        <f t="array" ref="AG4">INDEX(INDIRECT(INDEX($J$4,0) &amp; "!$C$2"),0)</f>
        <v>1</v>
      </c>
      <c r="AH4" s="25">
        <f t="array" ref="AH4">INDEX(INDIRECT(INDEX($J$4,0) &amp; "!$C$3"),0)</f>
        <v>6</v>
      </c>
      <c r="AI4" s="25">
        <f t="array" ref="AI4">INDEX(INDIRECT(INDEX($J$4,0) &amp; "!$C$4"),0)</f>
        <v>3</v>
      </c>
      <c r="AJ4" s="25">
        <f t="array" ref="AJ4">INDEX(INDIRECT(INDEX($J$4,0) &amp; "!$C$5"),0)</f>
        <v>8</v>
      </c>
      <c r="AK4" s="25">
        <f t="array" ref="AK4">INDEX(INDIRECT(INDEX($J$4,0) &amp; "!$C$6"),0)</f>
        <v>11</v>
      </c>
      <c r="AL4" s="26">
        <f t="shared" ref="AL4:AL10" si="3">SUM(AG4:AK4)</f>
        <v>29</v>
      </c>
    </row>
    <row r="5">
      <c r="A5" s="1" t="s">
        <v>22</v>
      </c>
      <c r="B5" s="17">
        <f t="array" ref="B5">IFERROR(INDEX(INDIRECT(INDEX($G$5,0) &amp; "!$D$8"),0))</f>
        <v>1</v>
      </c>
      <c r="C5" s="17">
        <f t="array" ref="C5">IFERROR(INDEX(INDIRECT(INDEX($H$5,0) &amp; "!$D$8"),0))</f>
        <v>0.5333333333</v>
      </c>
      <c r="D5" s="17">
        <f t="array" ref="D5">IFERROR(INDEX(INDIRECT(INDEX($I$5,0) &amp; "!$D$8"),0))</f>
        <v>0.5652173913</v>
      </c>
      <c r="E5" s="17">
        <f t="array" ref="E5">INDEX(INDIRECT(INDEX($J$5,0) &amp; "!$D$8"),0)</f>
        <v>0.5128205128</v>
      </c>
      <c r="F5" s="30"/>
      <c r="G5" s="58" t="s">
        <v>63</v>
      </c>
      <c r="H5" s="58" t="s">
        <v>64</v>
      </c>
      <c r="I5" s="58" t="s">
        <v>65</v>
      </c>
      <c r="J5" s="58" t="s">
        <v>66</v>
      </c>
      <c r="K5" s="21"/>
      <c r="L5" s="17">
        <f t="array" ref="L5">INDEX(INDIRECT(INDEX($J$5,0) &amp; "!$D$14"),0)</f>
        <v>1</v>
      </c>
      <c r="M5" s="17">
        <f t="array" ref="M5">INDEX(INDIRECT(INDEX($J$5,0) &amp; "!$D$15"),0)</f>
        <v>0.5</v>
      </c>
      <c r="N5" s="17">
        <f t="array" ref="N5">INDEX(INDIRECT(INDEX($J$5,0) &amp; "!$D$16"),0)</f>
        <v>0.5</v>
      </c>
      <c r="O5" s="17">
        <f t="array" ref="O5">INDEX(INDIRECT(INDEX($J$5,0) &amp; "!$D$17"),0)</f>
        <v>0.4444444444</v>
      </c>
      <c r="P5" s="20">
        <f t="array" ref="P5">SUM(L5:O5*U5:X5)/Y5</f>
        <v>0.5555555556</v>
      </c>
      <c r="Q5" s="21">
        <f t="array" ref="Q5">SUM(L5:N5*U5:W5)/SUM(U5:W5)</f>
        <v>0.6666666667</v>
      </c>
      <c r="R5" s="17">
        <f t="shared" si="1"/>
        <v>0.5714285714</v>
      </c>
      <c r="S5" s="21">
        <f t="array" ref="S5">SUM(L5:M5*U5:V5)/SUM(U5:V5)</f>
        <v>0.8</v>
      </c>
      <c r="T5" s="27"/>
      <c r="U5" s="23">
        <f t="array" ref="U5">INDEX(INDIRECT(INDEX($J$5,0) &amp; "!$C$14"),0)</f>
        <v>3</v>
      </c>
      <c r="V5" s="23">
        <f t="array" ref="V5">INDEX(INDIRECT(INDEX($J$5,0) &amp; "!$C$15"),0)</f>
        <v>2</v>
      </c>
      <c r="W5" s="23">
        <f t="array" ref="W5">INDEX(INDIRECT(INDEX($J$5,0) &amp; "!$C$16"),0)</f>
        <v>4</v>
      </c>
      <c r="X5" s="23">
        <f t="array" ref="X5">INDEX(INDIRECT(INDEX($J$5,0) &amp; "!$C$17"),0)</f>
        <v>9</v>
      </c>
      <c r="Y5" s="24">
        <f t="shared" si="2"/>
        <v>18</v>
      </c>
      <c r="Z5" s="21"/>
      <c r="AA5" s="17">
        <f t="array" ref="AA5">INDEX(INDIRECT(INDEX($J$5,0) &amp; "!$D$2"),0)</f>
        <v>0.05128205128</v>
      </c>
      <c r="AB5" s="17">
        <f t="array" ref="AB5">INDEX(INDIRECT(INDEX($J$5,0) &amp; "!$D$3"),0)</f>
        <v>0.1282051282</v>
      </c>
      <c r="AC5" s="17">
        <f t="array" ref="AC5">INDEX(INDIRECT(INDEX($J$5,0) &amp; "!$D$4"),0)</f>
        <v>0.3076923077</v>
      </c>
      <c r="AD5" s="17">
        <f t="array" ref="AD5">INDEX(INDIRECT(INDEX($J$5,0) &amp; "!$D$5"),0)</f>
        <v>0.1538461538</v>
      </c>
      <c r="AE5" s="17">
        <f t="array" ref="AE5">INDEX(INDIRECT(INDEX($J$5,0) &amp; "!$D$6"),0)</f>
        <v>0.358974359</v>
      </c>
      <c r="AG5" s="25">
        <f t="array" ref="AG5">INDEX(INDIRECT(INDEX($J$5,0) &amp; "!$C$2"),0)</f>
        <v>2</v>
      </c>
      <c r="AH5" s="25">
        <f t="array" ref="AH5">INDEX(INDIRECT(INDEX($J$5,0) &amp; "!$C$3"),0)</f>
        <v>5</v>
      </c>
      <c r="AI5" s="25">
        <f t="array" ref="AI5">INDEX(INDIRECT(INDEX($J$5,0) &amp; "!$C$4"),0)</f>
        <v>12</v>
      </c>
      <c r="AJ5" s="25">
        <f t="array" ref="AJ5">INDEX(INDIRECT(INDEX($J$5,0) &amp; "!$C$5"),0)</f>
        <v>6</v>
      </c>
      <c r="AK5" s="25">
        <f t="array" ref="AK5">INDEX(INDIRECT(INDEX($J$5,0) &amp; "!$C$6"),0)</f>
        <v>14</v>
      </c>
      <c r="AL5" s="26">
        <f t="shared" si="3"/>
        <v>39</v>
      </c>
    </row>
    <row r="6">
      <c r="A6" s="1" t="s">
        <v>27</v>
      </c>
      <c r="B6" s="17">
        <f t="array" ref="B6">IFERROR(INDEX(INDIRECT(INDEX($G$6,0) &amp; "!$D$8"),0))</f>
        <v>1</v>
      </c>
      <c r="C6" s="17">
        <f t="array" ref="C6">IFERROR(INDEX(INDIRECT(INDEX($H$6,0) &amp; "!$D$8"),0))</f>
        <v>0.8333333333</v>
      </c>
      <c r="D6" s="17">
        <f t="array" ref="D6">IFERROR(INDEX(INDIRECT(INDEX($I$6,0) &amp; "!$D$8"),0))</f>
        <v>0.6923076923</v>
      </c>
      <c r="E6" s="17">
        <f t="array" ref="E6">INDEX(INDIRECT(INDEX($J$6,0) &amp; "!$D$8"),0)</f>
        <v>0.6285714286</v>
      </c>
      <c r="F6" s="5"/>
      <c r="G6" s="58" t="s">
        <v>67</v>
      </c>
      <c r="H6" s="58" t="s">
        <v>68</v>
      </c>
      <c r="I6" s="58" t="s">
        <v>69</v>
      </c>
      <c r="J6" s="58" t="s">
        <v>70</v>
      </c>
      <c r="K6" s="21"/>
      <c r="L6" s="17">
        <f t="array" ref="L6">INDEX(INDIRECT(INDEX($J$6,0) &amp; "!$D$14"),0)</f>
        <v>1</v>
      </c>
      <c r="M6" s="17">
        <f t="array" ref="M6">INDEX(INDIRECT(INDEX($J$6,0) &amp; "!$D$15"),0)</f>
        <v>0.6666666667</v>
      </c>
      <c r="N6" s="17">
        <f t="array" ref="N6">INDEX(INDIRECT(INDEX($J$6,0) &amp; "!$D$16"),0)</f>
        <v>0.5</v>
      </c>
      <c r="O6" s="17">
        <f t="array" ref="O6">INDEX(INDIRECT(INDEX($J$6,0) &amp; "!$D$17"),0)</f>
        <v>0.75</v>
      </c>
      <c r="P6" s="20">
        <f t="array" ref="P6">SUM(L6:O6*U6:X6)/Y6</f>
        <v>0.7222222222</v>
      </c>
      <c r="Q6" s="21">
        <f t="array" ref="Q6">SUM(L6:N6*U6:W6)/SUM(U6:W6)</f>
        <v>0.7</v>
      </c>
      <c r="R6" s="17">
        <f t="shared" si="1"/>
        <v>0.7857142857</v>
      </c>
      <c r="S6" s="21">
        <f t="array" ref="S6">SUM(L6:M6*U6:V6)/SUM(U6:V6)</f>
        <v>0.8333333333</v>
      </c>
      <c r="T6" s="27"/>
      <c r="U6" s="23">
        <f t="array" ref="U6">INDEX(INDIRECT(INDEX($J$6,0) &amp; "!$C$14"),0)</f>
        <v>3</v>
      </c>
      <c r="V6" s="23">
        <f t="array" ref="V6">INDEX(INDIRECT(INDEX($J$6,0) &amp; "!$C$15"),0)</f>
        <v>3</v>
      </c>
      <c r="W6" s="23">
        <f t="array" ref="W6">INDEX(INDIRECT(INDEX($J$6,0) &amp; "!$C$16"),0)</f>
        <v>4</v>
      </c>
      <c r="X6" s="23">
        <f t="array" ref="X6">INDEX(INDIRECT(INDEX($J$6,0) &amp; "!$C$17"),0)</f>
        <v>8</v>
      </c>
      <c r="Y6" s="24">
        <f t="shared" si="2"/>
        <v>18</v>
      </c>
      <c r="Z6" s="21"/>
      <c r="AA6" s="17">
        <f t="array" ref="AA6">INDEX(INDIRECT(INDEX($J$6,0) &amp; "!$D$2"),0)</f>
        <v>0.05714285714</v>
      </c>
      <c r="AB6" s="17">
        <f t="array" ref="AB6">INDEX(INDIRECT(INDEX($J$6,0) &amp; "!$D$3"),0)</f>
        <v>0.1428571429</v>
      </c>
      <c r="AC6" s="17">
        <f t="array" ref="AC6">INDEX(INDIRECT(INDEX($J$6,0) &amp; "!$D$4"),0)</f>
        <v>0.1714285714</v>
      </c>
      <c r="AD6" s="17">
        <f t="array" ref="AD6">INDEX(INDIRECT(INDEX($J$6,0) &amp; "!$D$5"),0)</f>
        <v>0.3428571429</v>
      </c>
      <c r="AE6" s="17">
        <f t="array" ref="AE6">INDEX(INDIRECT(INDEX($J$6,0) &amp; "!$D$6"),0)</f>
        <v>0.2857142857</v>
      </c>
      <c r="AG6" s="25">
        <f t="array" ref="AG6">INDEX(INDIRECT(INDEX($J$6,0) &amp; "!$C$2"),0)</f>
        <v>2</v>
      </c>
      <c r="AH6" s="25">
        <f t="array" ref="AH6">INDEX(INDIRECT(INDEX($J$6,0) &amp; "!$C$3"),0)</f>
        <v>5</v>
      </c>
      <c r="AI6" s="25">
        <f t="array" ref="AI6">INDEX(INDIRECT(INDEX($J$6,0) &amp; "!$C$4"),0)</f>
        <v>6</v>
      </c>
      <c r="AJ6" s="25">
        <f t="array" ref="AJ6">INDEX(INDIRECT(INDEX($J$6,0) &amp; "!$C$5"),0)</f>
        <v>12</v>
      </c>
      <c r="AK6" s="25">
        <f t="array" ref="AK6">INDEX(INDIRECT(INDEX($J$6,0) &amp; "!$C$6"),0)</f>
        <v>10</v>
      </c>
      <c r="AL6" s="26">
        <f t="shared" si="3"/>
        <v>35</v>
      </c>
    </row>
    <row r="7">
      <c r="A7" s="1" t="s">
        <v>32</v>
      </c>
      <c r="B7" s="17">
        <f t="array" ref="B7">IFERROR(INDEX(INDIRECT(INDEX($G$7,0) &amp; "!$D$8"),0))</f>
        <v>0.6666666667</v>
      </c>
      <c r="C7" s="17">
        <f t="array" ref="C7">IFERROR(INDEX(INDIRECT(INDEX($H$7,0) &amp; "!$D$8"),0))</f>
        <v>0.6153846154</v>
      </c>
      <c r="D7" s="17">
        <f t="array" ref="D7">IFERROR(INDEX(INDIRECT(INDEX($I$7,0) &amp; "!$D$8"),0))</f>
        <v>0.5333333333</v>
      </c>
      <c r="E7" s="17">
        <f t="array" ref="E7">INDEX(INDIRECT(INDEX($J$7,0) &amp; "!$D$8"),0)</f>
        <v>0.5918367347</v>
      </c>
      <c r="F7" s="5"/>
      <c r="G7" s="58" t="s">
        <v>71</v>
      </c>
      <c r="H7" s="58" t="s">
        <v>72</v>
      </c>
      <c r="I7" s="58" t="s">
        <v>73</v>
      </c>
      <c r="J7" s="58" t="s">
        <v>74</v>
      </c>
      <c r="K7" s="21"/>
      <c r="L7" s="17">
        <f t="array" ref="L7">INDEX(INDIRECT(INDEX($J$7,0) &amp; "!$D$14"),0)</f>
        <v>0.3333333333</v>
      </c>
      <c r="M7" s="17">
        <f t="array" ref="M7">INDEX(INDIRECT(INDEX($J$7,0) &amp; "!$D$15"),0)</f>
        <v>0.4285714286</v>
      </c>
      <c r="N7" s="17">
        <f t="array" ref="N7">INDEX(INDIRECT(INDEX($J$7,0) &amp; "!$D$16"),0)</f>
        <v>0.5</v>
      </c>
      <c r="O7" s="17">
        <f t="array" ref="O7">INDEX(INDIRECT(INDEX($J$7,0) &amp; "!$D$17"),0)</f>
        <v>0.4444444444</v>
      </c>
      <c r="P7" s="20">
        <f t="array" ref="P7">SUM(L7:O7*U7:X7)/Y7</f>
        <v>0.4347826087</v>
      </c>
      <c r="Q7" s="21">
        <f t="array" ref="Q7">SUM(L7:N7*U7:W7)/SUM(U7:W7)</f>
        <v>0.4285714286</v>
      </c>
      <c r="R7" s="17">
        <f t="shared" si="1"/>
        <v>0.4210526316</v>
      </c>
      <c r="S7" s="21">
        <f t="array" ref="S7">SUM(L7:M7*U7:V7)/SUM(U7:V7)</f>
        <v>0.4</v>
      </c>
      <c r="T7" s="27"/>
      <c r="U7" s="23">
        <f t="array" ref="U7">INDEX(INDIRECT(INDEX($J$7,0) &amp; "!$C$14"),0)</f>
        <v>3</v>
      </c>
      <c r="V7" s="23">
        <f t="array" ref="V7">INDEX(INDIRECT(INDEX($J$7,0) &amp; "!$C$15"),0)</f>
        <v>7</v>
      </c>
      <c r="W7" s="23">
        <f t="array" ref="W7">INDEX(INDIRECT(INDEX($J$7,0) &amp; "!$C$16"),0)</f>
        <v>4</v>
      </c>
      <c r="X7" s="23">
        <f t="array" ref="X7">INDEX(INDIRECT(INDEX($J$7,0) &amp; "!$C$17"),0)</f>
        <v>9</v>
      </c>
      <c r="Y7" s="24">
        <f t="shared" si="2"/>
        <v>23</v>
      </c>
      <c r="Z7" s="21"/>
      <c r="AA7" s="17">
        <f t="array" ref="AA7">INDEX(INDIRECT(INDEX($J$7,0) &amp; "!$D$2"),0)</f>
        <v>0.04081632653</v>
      </c>
      <c r="AB7" s="17">
        <f t="array" ref="AB7">INDEX(INDIRECT(INDEX($J$7,0) &amp; "!$D$3"),0)</f>
        <v>0.2448979592</v>
      </c>
      <c r="AC7" s="17">
        <f t="array" ref="AC7">INDEX(INDIRECT(INDEX($J$7,0) &amp; "!$D$4"),0)</f>
        <v>0.1224489796</v>
      </c>
      <c r="AD7" s="17">
        <f t="array" ref="AD7">INDEX(INDIRECT(INDEX($J$7,0) &amp; "!$D$5"),0)</f>
        <v>0.2040816327</v>
      </c>
      <c r="AE7" s="17">
        <f t="array" ref="AE7">INDEX(INDIRECT(INDEX($J$7,0) &amp; "!$D$6"),0)</f>
        <v>0.387755102</v>
      </c>
      <c r="AG7" s="25">
        <f t="array" ref="AG7">INDEX(INDIRECT(INDEX($J$7,0) &amp; "!$C$2"),0)</f>
        <v>2</v>
      </c>
      <c r="AH7" s="25">
        <f t="array" ref="AH7">INDEX(INDIRECT(INDEX($J$7,0) &amp; "!$C$3"),0)</f>
        <v>12</v>
      </c>
      <c r="AI7" s="25">
        <f t="array" ref="AI7">INDEX(INDIRECT(INDEX($J$7,0) &amp; "!$C$4"),0)</f>
        <v>6</v>
      </c>
      <c r="AJ7" s="25">
        <f t="array" ref="AJ7">INDEX(INDIRECT(INDEX($J$7,0) &amp; "!$C$5"),0)</f>
        <v>10</v>
      </c>
      <c r="AK7" s="25">
        <f t="array" ref="AK7">INDEX(INDIRECT(INDEX($J$7,0) &amp; "!$C$6"),0)</f>
        <v>19</v>
      </c>
      <c r="AL7" s="26">
        <f t="shared" si="3"/>
        <v>49</v>
      </c>
    </row>
    <row r="8">
      <c r="A8" s="1" t="s">
        <v>37</v>
      </c>
      <c r="B8" s="17">
        <f t="array" ref="B8">IFERROR(INDEX(INDIRECT(INDEX($G$8,0) &amp; "!$D$8"),0))</f>
        <v>1</v>
      </c>
      <c r="C8" s="17">
        <f t="array" ref="C8">IFERROR(INDEX(INDIRECT(INDEX($H$8,0) &amp; "!$D$8"),0))</f>
        <v>0.5</v>
      </c>
      <c r="D8" s="17">
        <f t="array" ref="D8">IFERROR(INDEX(INDIRECT(INDEX($I$8,0) &amp; "!$D$8"),0))</f>
        <v>0.5238095238</v>
      </c>
      <c r="E8" s="17">
        <f t="array" ref="E8">INDEX(INDIRECT(INDEX($J$8,0) &amp; "!$D$8"),0)</f>
        <v>0.4375</v>
      </c>
      <c r="F8" s="5"/>
      <c r="G8" s="18" t="s">
        <v>75</v>
      </c>
      <c r="H8" s="18" t="s">
        <v>76</v>
      </c>
      <c r="I8" s="18" t="s">
        <v>77</v>
      </c>
      <c r="J8" s="58" t="s">
        <v>78</v>
      </c>
      <c r="K8" s="21"/>
      <c r="L8" s="17">
        <f t="array" ref="L8">INDEX(INDIRECT(INDEX($J$8,0) &amp; "!$D$14"),0)</f>
        <v>1</v>
      </c>
      <c r="M8" s="17">
        <f t="array" ref="M8">INDEX(INDIRECT(INDEX($J$8,0) &amp; "!$D$15"),0)</f>
        <v>0</v>
      </c>
      <c r="N8" s="17">
        <f t="array" ref="N8">INDEX(INDIRECT(INDEX($J$8,0) &amp; "!$D$16"),0)</f>
        <v>0.25</v>
      </c>
      <c r="O8" s="17">
        <f t="array" ref="O8">INDEX(INDIRECT(INDEX($J$8,0) &amp; "!$D$17"),0)</f>
        <v>0.6</v>
      </c>
      <c r="P8" s="20">
        <f t="array" ref="P8">SUM(L8:O8*U8:X8)/Y8</f>
        <v>0.5625</v>
      </c>
      <c r="Q8" s="21">
        <f t="array" ref="Q8">SUM(L8:N8*U8:W8)/SUM(U8:W8)</f>
        <v>0.5</v>
      </c>
      <c r="R8" s="17">
        <f t="shared" si="1"/>
        <v>0.6666666667</v>
      </c>
      <c r="S8" s="21">
        <f t="array" ref="S8">SUM(L8:M8*U8:V8)/SUM(U8:V8)</f>
        <v>1</v>
      </c>
      <c r="T8" s="27"/>
      <c r="U8" s="23">
        <f t="array" ref="U8">INDEX(INDIRECT(INDEX($J$8,0) &amp; "!$C$14"),0)</f>
        <v>2</v>
      </c>
      <c r="V8" s="23">
        <f t="array" ref="V8">INDEX(INDIRECT(INDEX($J$8,0) &amp; "!$C$15"),0)</f>
        <v>0</v>
      </c>
      <c r="W8" s="23">
        <f t="array" ref="W8">INDEX(INDIRECT(INDEX($J$8,0) &amp; "!$C$16"),0)</f>
        <v>4</v>
      </c>
      <c r="X8" s="23">
        <f t="array" ref="X8">INDEX(INDIRECT(INDEX($J$8,0) &amp; "!$C$17"),0)</f>
        <v>10</v>
      </c>
      <c r="Y8" s="24">
        <f t="shared" si="2"/>
        <v>16</v>
      </c>
      <c r="Z8" s="21"/>
      <c r="AA8" s="17">
        <f t="array" ref="AA8">INDEX(INDIRECT(INDEX($J$8,0) &amp; "!$D$2"),0)</f>
        <v>0.125</v>
      </c>
      <c r="AB8" s="17">
        <f t="array" ref="AB8">INDEX(INDIRECT(INDEX($J$8,0) &amp; "!$D$3"),0)</f>
        <v>0.15625</v>
      </c>
      <c r="AC8" s="17">
        <f t="array" ref="AC8">INDEX(INDIRECT(INDEX($J$8,0) &amp; "!$D$4"),0)</f>
        <v>0.28125</v>
      </c>
      <c r="AD8" s="17">
        <f t="array" ref="AD8">INDEX(INDIRECT(INDEX($J$8,0) &amp; "!$D$5"),0)</f>
        <v>0.25</v>
      </c>
      <c r="AE8" s="17">
        <f t="array" ref="AE8">INDEX(INDIRECT(INDEX($J$8,0) &amp; "!$D$6"),0)</f>
        <v>0.1875</v>
      </c>
      <c r="AG8" s="25">
        <f t="array" ref="AG8">INDEX(INDIRECT(INDEX($J$8,0) &amp; "!$C$2"),0)</f>
        <v>4</v>
      </c>
      <c r="AH8" s="25">
        <f t="array" ref="AH8">INDEX(INDIRECT(INDEX($J$8,0) &amp; "!$C$3"),0)</f>
        <v>5</v>
      </c>
      <c r="AI8" s="25">
        <f t="array" ref="AI8">INDEX(INDIRECT(INDEX($J$8,0) &amp; "!$C$4"),0)</f>
        <v>9</v>
      </c>
      <c r="AJ8" s="25">
        <f t="array" ref="AJ8">INDEX(INDIRECT(INDEX($J$8,0) &amp; "!$C$5"),0)</f>
        <v>8</v>
      </c>
      <c r="AK8" s="25">
        <f t="array" ref="AK8">INDEX(INDIRECT(INDEX($J$8,0) &amp; "!$C$6"),0)</f>
        <v>6</v>
      </c>
      <c r="AL8" s="26">
        <f t="shared" si="3"/>
        <v>32</v>
      </c>
    </row>
    <row r="9">
      <c r="A9" s="1" t="s">
        <v>42</v>
      </c>
      <c r="B9" s="17">
        <f t="array" ref="B9">IFERROR(INDEX(INDIRECT(INDEX($G$9,0) &amp; "!$D$8"),0))</f>
        <v>1</v>
      </c>
      <c r="C9" s="17">
        <f t="array" ref="C9">IFERROR(INDEX(INDIRECT(INDEX($H$9,0) &amp; "!$D$8"),0))</f>
        <v>0.875</v>
      </c>
      <c r="D9" s="17">
        <f t="array" ref="D9">IFERROR(INDEX(INDIRECT(INDEX($I$9,0) &amp; "!$D$8"),0))</f>
        <v>0.652173913</v>
      </c>
      <c r="E9" s="17">
        <f t="array" ref="E9">INDEX(INDIRECT(INDEX($J$9,0) &amp; "!$D$8"),0)</f>
        <v>0.4186046512</v>
      </c>
      <c r="F9" s="5"/>
      <c r="G9" s="58" t="s">
        <v>79</v>
      </c>
      <c r="H9" s="58" t="s">
        <v>80</v>
      </c>
      <c r="I9" s="58" t="s">
        <v>81</v>
      </c>
      <c r="J9" s="58" t="s">
        <v>82</v>
      </c>
      <c r="K9" s="21"/>
      <c r="L9" s="17">
        <f t="array" ref="L9">INDEX(INDIRECT(INDEX($J$9,0) &amp; "!$D$14"),0)</f>
        <v>1</v>
      </c>
      <c r="M9" s="17">
        <f t="array" ref="M9">INDEX(INDIRECT(INDEX($J$9,0) &amp; "!$D$15"),0)</f>
        <v>0.5</v>
      </c>
      <c r="N9" s="17">
        <f t="array" ref="N9">INDEX(INDIRECT(INDEX($J$9,0) &amp; "!$D$16"),0)</f>
        <v>0.25</v>
      </c>
      <c r="O9" s="17">
        <f t="array" ref="O9">INDEX(INDIRECT(INDEX($J$9,0) &amp; "!$D$17"),0)</f>
        <v>0.7142857143</v>
      </c>
      <c r="P9" s="20">
        <f t="array" ref="P9">SUM(L9:O9*U9:X9)/Y9</f>
        <v>0.6</v>
      </c>
      <c r="Q9" s="21">
        <f t="array" ref="Q9">SUM(L9:N9*U9:W9)/SUM(U9:W9)</f>
        <v>0.5</v>
      </c>
      <c r="R9" s="17">
        <f t="shared" si="1"/>
        <v>0.7272727273</v>
      </c>
      <c r="S9" s="21">
        <f t="array" ref="S9">SUM(L9:M9*U9:V9)/SUM(U9:V9)</f>
        <v>0.75</v>
      </c>
      <c r="T9" s="27"/>
      <c r="U9" s="23">
        <f t="array" ref="U9">INDEX(INDIRECT(INDEX($J$9,0) &amp; "!$C$14"),0)</f>
        <v>2</v>
      </c>
      <c r="V9" s="23">
        <f t="array" ref="V9">INDEX(INDIRECT(INDEX($J$9,0) &amp; "!$C$15"),0)</f>
        <v>2</v>
      </c>
      <c r="W9" s="23">
        <f t="array" ref="W9">INDEX(INDIRECT(INDEX($J$9,0) &amp; "!$C$16"),0)</f>
        <v>4</v>
      </c>
      <c r="X9" s="23">
        <f t="array" ref="X9">INDEX(INDIRECT(INDEX($J$9,0) &amp; "!$C$17"),0)</f>
        <v>7</v>
      </c>
      <c r="Y9" s="24">
        <f t="shared" si="2"/>
        <v>15</v>
      </c>
      <c r="Z9" s="21"/>
      <c r="AA9" s="17">
        <f t="array" ref="AA9">INDEX(INDIRECT(INDEX($J$9,0) &amp; "!$D$2"),0)</f>
        <v>0.04651162791</v>
      </c>
      <c r="AB9" s="17">
        <f t="array" ref="AB9">INDEX(INDIRECT(INDEX($J$9,0) &amp; "!$D$3"),0)</f>
        <v>0.2790697674</v>
      </c>
      <c r="AC9" s="17">
        <f t="array" ref="AC9">INDEX(INDIRECT(INDEX($J$9,0) &amp; "!$D$4"),0)</f>
        <v>0.2558139535</v>
      </c>
      <c r="AD9" s="17">
        <f t="array" ref="AD9">INDEX(INDIRECT(INDEX($J$9,0) &amp; "!$D$5"),0)</f>
        <v>0.1860465116</v>
      </c>
      <c r="AE9" s="17">
        <f t="array" ref="AE9">INDEX(INDIRECT(INDEX($J$9,0) &amp; "!$D$6"),0)</f>
        <v>0.2325581395</v>
      </c>
      <c r="AG9" s="25">
        <f t="array" ref="AG9">INDEX(INDIRECT(INDEX($J$9,0) &amp; "!$C$2"),0)</f>
        <v>2</v>
      </c>
      <c r="AH9" s="25">
        <f t="array" ref="AH9">INDEX(INDIRECT(INDEX($J$9,0) &amp; "!$C$3"),0)</f>
        <v>12</v>
      </c>
      <c r="AI9" s="25">
        <f t="array" ref="AI9">INDEX(INDIRECT(INDEX($J$9,0) &amp; "!$C$4"),0)</f>
        <v>11</v>
      </c>
      <c r="AJ9" s="25">
        <f t="array" ref="AJ9">INDEX(INDIRECT(INDEX($J$9,0) &amp; "!$C$5"),0)</f>
        <v>8</v>
      </c>
      <c r="AK9" s="25">
        <f t="array" ref="AK9">INDEX(INDIRECT(INDEX($J$9,0) &amp; "!$C$6"),0)</f>
        <v>10</v>
      </c>
      <c r="AL9" s="26">
        <f t="shared" si="3"/>
        <v>43</v>
      </c>
    </row>
    <row r="10">
      <c r="A10" s="28" t="s">
        <v>47</v>
      </c>
      <c r="B10" s="29">
        <f t="shared" ref="B10:E10" si="4">AVERAGE(B$4:B9)</f>
        <v>0.9444444444</v>
      </c>
      <c r="C10" s="29">
        <f t="shared" si="4"/>
        <v>0.6785561661</v>
      </c>
      <c r="D10" s="29">
        <f t="shared" si="4"/>
        <v>0.6055847534</v>
      </c>
      <c r="E10" s="29">
        <f t="shared" si="4"/>
        <v>0.5407509568</v>
      </c>
      <c r="F10" s="5"/>
      <c r="G10" s="5"/>
      <c r="H10" s="18"/>
      <c r="I10" s="18"/>
      <c r="J10" s="30"/>
      <c r="K10" s="21"/>
      <c r="L10" s="29">
        <f t="shared" ref="L10:S10" si="5">AVERAGE(L4:L9)</f>
        <v>0.8888888889</v>
      </c>
      <c r="M10" s="31">
        <f t="shared" si="5"/>
        <v>0.4603174603</v>
      </c>
      <c r="N10" s="29">
        <f t="shared" si="5"/>
        <v>0.375</v>
      </c>
      <c r="O10" s="31">
        <f t="shared" si="5"/>
        <v>0.5755291005</v>
      </c>
      <c r="P10" s="32">
        <f t="shared" si="5"/>
        <v>0.5744148263</v>
      </c>
      <c r="Q10" s="29">
        <f t="shared" si="5"/>
        <v>0.5658730159</v>
      </c>
      <c r="R10" s="31">
        <f t="shared" si="5"/>
        <v>0.6453558138</v>
      </c>
      <c r="S10" s="29">
        <f t="shared" si="5"/>
        <v>0.7694444444</v>
      </c>
      <c r="T10" s="33"/>
      <c r="U10" s="34">
        <f t="shared" ref="U10:X10" si="6">SUM(U4:U9)</f>
        <v>16</v>
      </c>
      <c r="V10" s="34">
        <f t="shared" si="6"/>
        <v>17</v>
      </c>
      <c r="W10" s="34">
        <f t="shared" si="6"/>
        <v>24</v>
      </c>
      <c r="X10" s="34">
        <f t="shared" si="6"/>
        <v>47</v>
      </c>
      <c r="Y10" s="35">
        <f t="shared" si="2"/>
        <v>104</v>
      </c>
      <c r="Z10" s="21"/>
      <c r="AA10" s="29">
        <f t="shared" ref="AA10:AE10" si="7">AVERAGE(AA4:AA9)</f>
        <v>0.05920593691</v>
      </c>
      <c r="AB10" s="31">
        <f t="shared" si="7"/>
        <v>0.1930294249</v>
      </c>
      <c r="AC10" s="31">
        <f t="shared" si="7"/>
        <v>0.2070136813</v>
      </c>
      <c r="AD10" s="29">
        <f t="shared" si="7"/>
        <v>0.2354489183</v>
      </c>
      <c r="AE10" s="29">
        <f t="shared" si="7"/>
        <v>0.3053020385</v>
      </c>
      <c r="AF10" s="36"/>
      <c r="AG10" s="37">
        <f t="shared" ref="AG10:AK10" si="8">SUM(AG4:AG9)</f>
        <v>13</v>
      </c>
      <c r="AH10" s="37">
        <f t="shared" si="8"/>
        <v>45</v>
      </c>
      <c r="AI10" s="37">
        <f t="shared" si="8"/>
        <v>47</v>
      </c>
      <c r="AJ10" s="37">
        <f t="shared" si="8"/>
        <v>52</v>
      </c>
      <c r="AK10" s="37">
        <f t="shared" si="8"/>
        <v>70</v>
      </c>
      <c r="AL10" s="38">
        <f t="shared" si="3"/>
        <v>227</v>
      </c>
    </row>
    <row r="11">
      <c r="A11" s="13" t="s">
        <v>49</v>
      </c>
      <c r="B11" s="17">
        <f t="array" ref="B11">SUM(B4:B9*$AL43:$AL48)/$AL49</f>
        <v>0.9375</v>
      </c>
      <c r="C11" s="17">
        <f t="array" ref="C11">SUM(C4:C9*$AL30:$AL35)/$AL36</f>
        <v>0.6621621622</v>
      </c>
      <c r="D11" s="17">
        <f t="array" ref="D11">SUM(D4:D9*$AL17:$AL22)/$AL23</f>
        <v>0.6054421769</v>
      </c>
      <c r="E11" s="17">
        <f t="array" ref="E11">SUM(E4:E9*$AL4:$AL9)/$AL10</f>
        <v>0.5374449339</v>
      </c>
      <c r="F11" s="5"/>
      <c r="G11" s="5"/>
      <c r="H11" s="18"/>
      <c r="I11" s="18"/>
      <c r="J11" s="5"/>
      <c r="K11" s="21"/>
      <c r="L11" s="21">
        <f t="array" ref="L11">SUM(L4:L9*U4:U9)/U10</f>
        <v>0.875</v>
      </c>
      <c r="M11" s="21">
        <f t="array" ref="M11">SUM(M4:M9*V4:V9)/V10</f>
        <v>0.5294117647</v>
      </c>
      <c r="N11" s="21">
        <f t="array" ref="N11">SUM(N4:N9*W4:W9)/W10</f>
        <v>0.375</v>
      </c>
      <c r="O11" s="21">
        <f t="array" ref="O11">SUM(O4:O9*X4:X9)/X10</f>
        <v>0.5744680851</v>
      </c>
      <c r="P11" s="40">
        <f t="array" ref="P11">SUM(P4:P9*Y4:Y9)/Y10</f>
        <v>0.5673076923</v>
      </c>
      <c r="Q11" s="17">
        <f t="array" ref="Q11">SUM(Q4:Q9*Y4:Y9-X4:X9)/SUM(U10:W10)</f>
        <v>0.5614035088</v>
      </c>
      <c r="R11" s="41">
        <f t="array" ref="R11">SUM(R4:R9*Y4:Y9-W4:W9)/(SUM(U10:X10)-W10)</f>
        <v>0.625</v>
      </c>
      <c r="S11" s="17">
        <f t="array" ref="S11">SUM(S4:S9*U4:U9+V4:V9)/SUM(U10:V10)</f>
        <v>0.696969697</v>
      </c>
      <c r="T11" s="27"/>
      <c r="U11" s="27"/>
      <c r="V11" s="27"/>
      <c r="W11" s="27"/>
      <c r="X11" s="27"/>
      <c r="Z11" s="21"/>
      <c r="AA11" s="21">
        <f t="shared" ref="AA11:AE11" si="9">AG10/$AL10</f>
        <v>0.05726872247</v>
      </c>
      <c r="AB11" s="21">
        <f t="shared" si="9"/>
        <v>0.1982378855</v>
      </c>
      <c r="AC11" s="21">
        <f t="shared" si="9"/>
        <v>0.2070484581</v>
      </c>
      <c r="AD11" s="21">
        <f t="shared" si="9"/>
        <v>0.2290748899</v>
      </c>
      <c r="AE11" s="21">
        <f t="shared" si="9"/>
        <v>0.3083700441</v>
      </c>
      <c r="AF11" s="36">
        <f>SUM(AA11:AE11)</f>
        <v>1</v>
      </c>
    </row>
    <row r="12">
      <c r="A12" s="11" t="s">
        <v>50</v>
      </c>
      <c r="B12" s="17">
        <f t="shared" ref="B12:D12" si="10">B10-$E10</f>
        <v>0.4036934876</v>
      </c>
      <c r="C12" s="17">
        <f t="shared" si="10"/>
        <v>0.1378052092</v>
      </c>
      <c r="D12" s="17">
        <f t="shared" si="10"/>
        <v>0.06483379657</v>
      </c>
      <c r="E12" s="42"/>
      <c r="F12" s="5"/>
      <c r="G12" s="5"/>
      <c r="H12" s="18"/>
      <c r="I12" s="18"/>
      <c r="J12" s="5"/>
      <c r="K12" s="43"/>
      <c r="L12" s="21"/>
      <c r="M12" s="21"/>
      <c r="N12" s="21"/>
      <c r="Z12" s="21"/>
      <c r="AA12" s="21"/>
      <c r="AB12" s="21"/>
      <c r="AC12" s="21"/>
      <c r="AD12" s="21"/>
      <c r="AE12" s="21"/>
    </row>
    <row r="13">
      <c r="A13" s="1" t="s">
        <v>52</v>
      </c>
      <c r="B13" s="45">
        <f t="shared" ref="B13:D13" si="11">TTEST(B4:B9, $E4:$E9, 1, 1)</f>
        <v>0.001643727777</v>
      </c>
      <c r="C13" s="45">
        <f t="shared" si="11"/>
        <v>0.05198812642</v>
      </c>
      <c r="D13" s="45">
        <f t="shared" si="11"/>
        <v>0.08143995312</v>
      </c>
      <c r="E13" s="42"/>
      <c r="F13" s="5"/>
      <c r="G13" s="5"/>
      <c r="H13" s="18"/>
      <c r="I13" s="18"/>
      <c r="J13" s="5"/>
    </row>
    <row r="14">
      <c r="A14" s="11"/>
      <c r="B14" s="45"/>
      <c r="C14" s="45"/>
      <c r="D14" s="45"/>
      <c r="E14" s="45"/>
      <c r="F14" s="5"/>
      <c r="G14" s="7"/>
      <c r="H14" s="18"/>
      <c r="I14" s="18"/>
      <c r="J14" s="7"/>
      <c r="L14" s="45"/>
      <c r="M14" s="45"/>
      <c r="N14" s="45"/>
      <c r="O14" s="45"/>
    </row>
    <row r="15">
      <c r="B15" s="17"/>
      <c r="C15" s="17"/>
      <c r="D15" s="17"/>
      <c r="E15" s="25"/>
      <c r="F15" s="5"/>
      <c r="G15" s="7"/>
      <c r="H15" s="18"/>
      <c r="I15" s="18"/>
      <c r="J15" s="7"/>
      <c r="L15" s="22"/>
      <c r="M15" s="22"/>
      <c r="N15" s="22"/>
      <c r="O15" s="22"/>
    </row>
    <row r="16">
      <c r="A16" s="1"/>
      <c r="B16" s="15" t="s">
        <v>6</v>
      </c>
      <c r="F16" s="5"/>
      <c r="G16" s="5"/>
      <c r="H16" s="18"/>
      <c r="I16" s="18"/>
      <c r="J16" s="5"/>
      <c r="L16" s="49">
        <v>50000.0</v>
      </c>
      <c r="U16" s="49">
        <v>50000.0</v>
      </c>
      <c r="AA16" s="49">
        <v>50000.0</v>
      </c>
      <c r="AG16" s="49">
        <v>50000.0</v>
      </c>
    </row>
    <row r="17">
      <c r="A17" s="1" t="s">
        <v>17</v>
      </c>
      <c r="B17" s="17">
        <f t="array" ref="B17">IFERROR(INDEX(INDIRECT(INDEX($G$4,0) &amp; "!$D$18"),0))</f>
        <v>0.07142857143</v>
      </c>
      <c r="C17" s="17">
        <f t="array" ref="C17">IFERROR(INDEX(INDIRECT(INDEX($H$4,0) &amp; "!$D$18"),0))</f>
        <v>0.2857142857</v>
      </c>
      <c r="D17" s="17">
        <f t="array" ref="D17">IFERROR(INDEX(INDIRECT(INDEX($I$4,0) &amp; "!$D$18"),0))</f>
        <v>0.5</v>
      </c>
      <c r="E17" s="17">
        <f t="array" ref="E17">INDEX(INDIRECT(INDEX($J$4,0) &amp; "!$D$18"),0)</f>
        <v>0.5714285714</v>
      </c>
      <c r="F17" s="30"/>
      <c r="G17" s="5"/>
      <c r="H17" s="5"/>
      <c r="I17" s="5"/>
      <c r="J17" s="5"/>
      <c r="L17" s="17">
        <f t="array" ref="L17">INDEX(INDIRECT(INDEX($I$4,0) &amp; "!$D$14"),0)</f>
        <v>1</v>
      </c>
      <c r="M17" s="17">
        <f t="array" ref="M17">INDEX(INDIRECT(INDEX($I$4,0) &amp; "!$D$15"),0)</f>
        <v>0.3333333333</v>
      </c>
      <c r="N17" s="17">
        <f t="array" ref="N17">INDEX(INDIRECT(INDEX($I$4,0) &amp; "!$D$16"),0)</f>
        <v>0.25</v>
      </c>
      <c r="O17" s="17">
        <f t="array" ref="O17">INDEX(INDIRECT(INDEX($I$4,0) &amp; "!$D$17"),0)</f>
        <v>0.5</v>
      </c>
      <c r="P17" s="20">
        <f t="array" ref="P17">SUM(L17:O17*U17:X17)/Y17</f>
        <v>0.5</v>
      </c>
      <c r="Q17" s="21">
        <f t="array" ref="Q17">SUM(L17:N17*U17:W17)/SUM(U17:W17)</f>
        <v>0.5</v>
      </c>
      <c r="R17" s="17">
        <f t="shared" ref="R17:R22" si="12">(L17*U17+M17*V17+O17*X17)/(U17+V17+X17)</f>
        <v>0.6</v>
      </c>
      <c r="S17" s="21">
        <f t="array" ref="S17">SUM(L17:M17*U17:V17)/SUM(U17:V17)</f>
        <v>0.6666666667</v>
      </c>
      <c r="U17" s="23">
        <f t="array" ref="U17">INDEX(INDIRECT(INDEX($I$4,0) &amp; "!$C$14"),0)</f>
        <v>3</v>
      </c>
      <c r="V17" s="23">
        <f t="array" ref="V17">INDEX(INDIRECT(INDEX($I$4,0) &amp; "!$C$15"),0)</f>
        <v>3</v>
      </c>
      <c r="W17" s="23">
        <f t="array" ref="W17">INDEX(INDIRECT(INDEX($I$4,0) &amp; "!$C$16"),0)</f>
        <v>4</v>
      </c>
      <c r="X17" s="23">
        <f t="array" ref="X17">INDEX(INDIRECT(INDEX($I$4,0) &amp; "!$C$17"),0)</f>
        <v>4</v>
      </c>
      <c r="Y17" s="24">
        <f t="shared" ref="Y17:Y23" si="13">SUM(U17:X17)</f>
        <v>14</v>
      </c>
      <c r="AA17" s="17">
        <f t="array" ref="AA17">INDEX(INDIRECT(INDEX($I$4,0) &amp; "!$D$2"),0)</f>
        <v>0.125</v>
      </c>
      <c r="AB17" s="17">
        <f t="array" ref="AB17">INDEX(INDIRECT(INDEX($I$4,0) &amp; "!$D$3"),0)</f>
        <v>0.08333333333</v>
      </c>
      <c r="AC17" s="17">
        <f t="array" ref="AC17">INDEX(INDIRECT(INDEX($I$4,0) &amp; "!$D$4"),0)</f>
        <v>0.125</v>
      </c>
      <c r="AD17" s="17">
        <f t="array" ref="AD17">INDEX(INDIRECT(INDEX($I$4,0) &amp; "!$D$5"),0)</f>
        <v>0.2916666667</v>
      </c>
      <c r="AE17" s="17">
        <f t="array" ref="AE17">INDEX(INDIRECT(INDEX($I$4,0) &amp; "!$D$6"),0)</f>
        <v>0.375</v>
      </c>
      <c r="AG17" s="25">
        <f t="array" ref="AG17">INDEX(INDIRECT(INDEX($I$4,0) &amp; "!$C$2"),0)</f>
        <v>3</v>
      </c>
      <c r="AH17" s="25">
        <f t="array" ref="AH17">INDEX(INDIRECT(INDEX($I$4,0) &amp; "!$C$3"),0)</f>
        <v>2</v>
      </c>
      <c r="AI17" s="25">
        <f t="array" ref="AI17">INDEX(INDIRECT(INDEX($I$4,0) &amp; "!$C$4"),0)</f>
        <v>3</v>
      </c>
      <c r="AJ17" s="25">
        <f t="array" ref="AJ17">INDEX(INDIRECT(INDEX($I$4,0) &amp; "!$C$5"),0)</f>
        <v>7</v>
      </c>
      <c r="AK17" s="25">
        <f t="array" ref="AK17">INDEX(INDIRECT(INDEX($I$4,0) &amp; "!$C$6"),0)</f>
        <v>9</v>
      </c>
      <c r="AL17" s="26">
        <f t="shared" ref="AL17:AL23" si="14">SUM(AG17:AK17)</f>
        <v>24</v>
      </c>
    </row>
    <row r="18">
      <c r="A18" s="1" t="s">
        <v>22</v>
      </c>
      <c r="B18" s="17">
        <f t="array" ref="B18">IFERROR(INDEX(INDIRECT(INDEX($G$5,0) &amp; "!$D$18"),0))</f>
        <v>0.2777777778</v>
      </c>
      <c r="C18" s="17">
        <f t="array" ref="C18">IFERROR(INDEX(INDIRECT(INDEX($H$5,0) &amp; "!$D$18"),0))</f>
        <v>0.1666666667</v>
      </c>
      <c r="D18" s="17">
        <f t="array" ref="D18">IFERROR(INDEX(INDIRECT(INDEX($I$5,0) &amp; "!$D$18"),0))</f>
        <v>0.3888888889</v>
      </c>
      <c r="E18" s="17">
        <f t="array" ref="E18">INDEX(INDIRECT(INDEX($J$5,0) &amp; "!$D$18"),0)</f>
        <v>0.5555555556</v>
      </c>
      <c r="F18" s="30"/>
      <c r="G18" s="5"/>
      <c r="H18" s="5"/>
      <c r="I18" s="5"/>
      <c r="J18" s="5"/>
      <c r="K18" s="21"/>
      <c r="L18" s="17">
        <f t="array" ref="L18">INDEX(INDIRECT(INDEX($I$5,0) &amp; "!$D$14"),0)</f>
        <v>1</v>
      </c>
      <c r="M18" s="17">
        <f t="array" ref="M18">INDEX(INDIRECT(INDEX($I$5,0) &amp; "!$D$15"),0)</f>
        <v>0</v>
      </c>
      <c r="N18" s="17">
        <f t="array" ref="N18">INDEX(INDIRECT(INDEX($I$5,0) &amp; "!$D$16"),0)</f>
        <v>0</v>
      </c>
      <c r="O18" s="17">
        <f t="array" ref="O18">INDEX(INDIRECT(INDEX($I$5,0) &amp; "!$D$17"),0)</f>
        <v>0.4444444444</v>
      </c>
      <c r="P18" s="20">
        <f t="array" ref="P18">SUM(L18:O18*U18:X18)/Y18</f>
        <v>0.3888888889</v>
      </c>
      <c r="Q18" s="21">
        <f t="array" ref="Q18">SUM(L18:N18*U18:W18)/SUM(U18:W18)</f>
        <v>0.3333333333</v>
      </c>
      <c r="R18" s="17">
        <f t="shared" si="12"/>
        <v>0.5</v>
      </c>
      <c r="S18" s="21">
        <f t="array" ref="S18">SUM(L18:M18*U18:V18)/SUM(U18:V18)</f>
        <v>0.6</v>
      </c>
      <c r="T18" s="27"/>
      <c r="U18" s="23">
        <f t="array" ref="U18">INDEX(INDIRECT(INDEX($I$5,0) &amp; "!$C$14"),0)</f>
        <v>3</v>
      </c>
      <c r="V18" s="23">
        <f t="array" ref="V18">INDEX(INDIRECT(INDEX($I$5,0) &amp; "!$C$15"),0)</f>
        <v>2</v>
      </c>
      <c r="W18" s="23">
        <f t="array" ref="W18">INDEX(INDIRECT(INDEX($I$5,0) &amp; "!$C$16"),0)</f>
        <v>4</v>
      </c>
      <c r="X18" s="23">
        <f t="array" ref="X18">INDEX(INDIRECT(INDEX($I$5,0) &amp; "!$C$17"),0)</f>
        <v>9</v>
      </c>
      <c r="Y18" s="24">
        <f t="shared" si="13"/>
        <v>18</v>
      </c>
      <c r="Z18" s="21"/>
      <c r="AA18" s="17">
        <f t="array" ref="AA18">INDEX(INDIRECT(INDEX($I$5,0) &amp; "!$D$2"),0)</f>
        <v>0.04347826087</v>
      </c>
      <c r="AB18" s="17">
        <f t="array" ref="AB18">INDEX(INDIRECT(INDEX($I$5,0) &amp; "!$D$3"),0)</f>
        <v>0.08695652174</v>
      </c>
      <c r="AC18" s="17">
        <f t="array" ref="AC18">INDEX(INDIRECT(INDEX($I$5,0) &amp; "!$D$4"),0)</f>
        <v>0.3043478261</v>
      </c>
      <c r="AD18" s="17">
        <f t="array" ref="AD18">INDEX(INDIRECT(INDEX($I$5,0) &amp; "!$D$5"),0)</f>
        <v>0.2608695652</v>
      </c>
      <c r="AE18" s="17">
        <f t="array" ref="AE18">INDEX(INDIRECT(INDEX($I$5,0) &amp; "!$D$6"),0)</f>
        <v>0.3043478261</v>
      </c>
      <c r="AG18" s="25">
        <f t="array" ref="AG18">INDEX(INDIRECT(INDEX($I$5,0) &amp; "!$C$2"),0)</f>
        <v>1</v>
      </c>
      <c r="AH18" s="25">
        <f t="array" ref="AH18">INDEX(INDIRECT(INDEX($I$5,0) &amp; "!$C$3"),0)</f>
        <v>2</v>
      </c>
      <c r="AI18" s="25">
        <f t="array" ref="AI18">INDEX(INDIRECT(INDEX($I$5,0) &amp; "!$C$4"),0)</f>
        <v>7</v>
      </c>
      <c r="AJ18" s="25">
        <f t="array" ref="AJ18">INDEX(INDIRECT(INDEX($I$5,0) &amp; "!$C$5"),0)</f>
        <v>6</v>
      </c>
      <c r="AK18" s="25">
        <f t="array" ref="AK18">INDEX(INDIRECT(INDEX($I$5,0) &amp; "!$C$6"),0)</f>
        <v>7</v>
      </c>
      <c r="AL18" s="26">
        <f t="shared" si="14"/>
        <v>23</v>
      </c>
    </row>
    <row r="19">
      <c r="A19" s="1" t="s">
        <v>27</v>
      </c>
      <c r="B19" s="17">
        <f t="array" ref="B19">IFERROR(INDEX(INDIRECT(INDEX($G$6,0) &amp; "!$D$18"),0))</f>
        <v>0.05555555556</v>
      </c>
      <c r="C19" s="17">
        <f t="array" ref="C19">IFERROR(INDEX(INDIRECT(INDEX($H$6,0) &amp; "!$D$18"),0))</f>
        <v>0.3888888889</v>
      </c>
      <c r="D19" s="17">
        <f t="array" ref="D19">IFERROR(INDEX(INDIRECT(INDEX($I$6,0) &amp; "!$D$18"),0))</f>
        <v>0.6111111111</v>
      </c>
      <c r="E19" s="17">
        <f t="array" ref="E19">INDEX(INDIRECT(INDEX($J$6,0) &amp; "!$D$18"),0)</f>
        <v>0.7222222222</v>
      </c>
      <c r="F19" s="30"/>
      <c r="G19" s="5"/>
      <c r="H19" s="5"/>
      <c r="I19" s="5"/>
      <c r="J19" s="5"/>
      <c r="K19" s="21"/>
      <c r="L19" s="17">
        <f t="array" ref="L19">INDEX(INDIRECT(INDEX($I$6,0) &amp; "!$D$14"),0)</f>
        <v>1</v>
      </c>
      <c r="M19" s="17">
        <f t="array" ref="M19">INDEX(INDIRECT(INDEX($I$6,0) &amp; "!$D$15"),0)</f>
        <v>0.6666666667</v>
      </c>
      <c r="N19" s="17">
        <f t="array" ref="N19">INDEX(INDIRECT(INDEX($I$6,0) &amp; "!$D$16"),0)</f>
        <v>0.5</v>
      </c>
      <c r="O19" s="17">
        <f t="array" ref="O19">INDEX(INDIRECT(INDEX($I$6,0) &amp; "!$D$17"),0)</f>
        <v>0.5</v>
      </c>
      <c r="P19" s="20">
        <f t="array" ref="P19">SUM(L19:O19*U19:X19)/Y19</f>
        <v>0.6111111111</v>
      </c>
      <c r="Q19" s="21">
        <f t="array" ref="Q19">SUM(L19:N19*U19:W19)/SUM(U19:W19)</f>
        <v>0.7</v>
      </c>
      <c r="R19" s="17">
        <f t="shared" si="12"/>
        <v>0.6428571429</v>
      </c>
      <c r="S19" s="21">
        <f t="array" ref="S19">SUM(L19:M19*U19:V19)/SUM(U19:V19)</f>
        <v>0.8333333333</v>
      </c>
      <c r="T19" s="27"/>
      <c r="U19" s="23">
        <f t="array" ref="U19">INDEX(INDIRECT(INDEX($I$6,0) &amp; "!$C$14"),0)</f>
        <v>3</v>
      </c>
      <c r="V19" s="23">
        <f t="array" ref="V19">INDEX(INDIRECT(INDEX($I$6,0) &amp; "!$C$15"),0)</f>
        <v>3</v>
      </c>
      <c r="W19" s="23">
        <f t="array" ref="W19">INDEX(INDIRECT(INDEX($I$6,0) &amp; "!$C$16"),0)</f>
        <v>4</v>
      </c>
      <c r="X19" s="23">
        <f t="array" ref="X19">INDEX(INDIRECT(INDEX($I$6,0) &amp; "!$C$17"),0)</f>
        <v>8</v>
      </c>
      <c r="Y19" s="24">
        <f t="shared" si="13"/>
        <v>18</v>
      </c>
      <c r="Z19" s="21"/>
      <c r="AA19" s="17">
        <f t="array" ref="AA19">INDEX(INDIRECT(INDEX($I$6,0) &amp; "!$D$2"),0)</f>
        <v>0.03846153846</v>
      </c>
      <c r="AB19" s="17">
        <f t="array" ref="AB19">INDEX(INDIRECT(INDEX($I$6,0) &amp; "!$D$3"),0)</f>
        <v>0.07692307692</v>
      </c>
      <c r="AC19" s="17">
        <f t="array" ref="AC19">INDEX(INDIRECT(INDEX($I$6,0) &amp; "!$D$4"),0)</f>
        <v>0.1923076923</v>
      </c>
      <c r="AD19" s="17">
        <f t="array" ref="AD19">INDEX(INDIRECT(INDEX($I$6,0) &amp; "!$D$5"),0)</f>
        <v>0.3846153846</v>
      </c>
      <c r="AE19" s="17">
        <f t="array" ref="AE19">INDEX(INDIRECT(INDEX($I$6,0) &amp; "!$D$6"),0)</f>
        <v>0.3076923077</v>
      </c>
      <c r="AG19" s="25">
        <f t="array" ref="AG19">INDEX(INDIRECT(INDEX($I$6,0) &amp; "!$C$2"),0)</f>
        <v>1</v>
      </c>
      <c r="AH19" s="25">
        <f t="array" ref="AH19">INDEX(INDIRECT(INDEX($I$6,0) &amp; "!$C$3"),0)</f>
        <v>2</v>
      </c>
      <c r="AI19" s="25">
        <f t="array" ref="AI19">INDEX(INDIRECT(INDEX($I$6,0) &amp; "!$C$4"),0)</f>
        <v>5</v>
      </c>
      <c r="AJ19" s="25">
        <f t="array" ref="AJ19">INDEX(INDIRECT(INDEX($I$6,0) &amp; "!$C$5"),0)</f>
        <v>10</v>
      </c>
      <c r="AK19" s="25">
        <f t="array" ref="AK19">INDEX(INDIRECT(INDEX($I$6,0) &amp; "!$C$6"),0)</f>
        <v>8</v>
      </c>
      <c r="AL19" s="26">
        <f t="shared" si="14"/>
        <v>26</v>
      </c>
    </row>
    <row r="20">
      <c r="A20" s="1" t="s">
        <v>32</v>
      </c>
      <c r="B20" s="17">
        <f t="array" ref="B20">IFERROR(INDEX(INDIRECT(INDEX($G$7,0) &amp; "!$D$18"),0))</f>
        <v>0.08695652174</v>
      </c>
      <c r="C20" s="17">
        <f t="array" ref="C20">IFERROR(INDEX(INDIRECT(INDEX($H$7,0) &amp; "!$D$18"),0))</f>
        <v>0.1304347826</v>
      </c>
      <c r="D20" s="17">
        <f t="array" ref="D20">IFERROR(INDEX(INDIRECT(INDEX($I$7,0) &amp; "!$D$18"),0))</f>
        <v>0.3043478261</v>
      </c>
      <c r="E20" s="17">
        <f t="array" ref="E20">INDEX(INDIRECT(INDEX($J$7,0) &amp; "!$D$18"),0)</f>
        <v>0.4347826087</v>
      </c>
      <c r="F20" s="30"/>
      <c r="G20" s="5"/>
      <c r="H20" s="5"/>
      <c r="I20" s="5"/>
      <c r="J20" s="5"/>
      <c r="K20" s="21"/>
      <c r="L20" s="17">
        <f t="array" ref="L20">INDEX(INDIRECT(INDEX($I$7,0) &amp; "!$D$14"),0)</f>
        <v>0.6666666667</v>
      </c>
      <c r="M20" s="17">
        <f t="array" ref="M20">INDEX(INDIRECT(INDEX($I$7,0) &amp; "!$D$15"),0)</f>
        <v>0.1428571429</v>
      </c>
      <c r="N20" s="17">
        <f t="array" ref="N20">INDEX(INDIRECT(INDEX($I$7,0) &amp; "!$D$16"),0)</f>
        <v>0.25</v>
      </c>
      <c r="O20" s="17">
        <f t="array" ref="O20">INDEX(INDIRECT(INDEX($I$7,0) &amp; "!$D$17"),0)</f>
        <v>0.3333333333</v>
      </c>
      <c r="P20" s="20">
        <f t="array" ref="P20">SUM(L20:O20*U20:X20)/Y20</f>
        <v>0.3043478261</v>
      </c>
      <c r="Q20" s="21">
        <f t="array" ref="Q20">SUM(L20:N20*U20:W20)/SUM(U20:W20)</f>
        <v>0.2857142857</v>
      </c>
      <c r="R20" s="17">
        <f t="shared" si="12"/>
        <v>0.3157894737</v>
      </c>
      <c r="S20" s="21">
        <f t="array" ref="S20">SUM(L20:M20*U20:V20)/SUM(U20:V20)</f>
        <v>0.3</v>
      </c>
      <c r="T20" s="27"/>
      <c r="U20" s="23">
        <f t="array" ref="U20">INDEX(INDIRECT(INDEX($I$7,0) &amp; "!$C$14"),0)</f>
        <v>3</v>
      </c>
      <c r="V20" s="23">
        <f t="array" ref="V20">INDEX(INDIRECT(INDEX($I$7,0) &amp; "!$C$15"),0)</f>
        <v>7</v>
      </c>
      <c r="W20" s="23">
        <f t="array" ref="W20">INDEX(INDIRECT(INDEX($I$7,0) &amp; "!$C$16"),0)</f>
        <v>4</v>
      </c>
      <c r="X20" s="23">
        <f t="array" ref="X20">INDEX(INDIRECT(INDEX($I$7,0) &amp; "!$C$17"),0)</f>
        <v>9</v>
      </c>
      <c r="Y20" s="24">
        <f t="shared" si="13"/>
        <v>23</v>
      </c>
      <c r="Z20" s="21"/>
      <c r="AA20" s="17">
        <f t="array" ref="AA20">INDEX(INDIRECT(INDEX($I$7,0) &amp; "!$D$2"),0)</f>
        <v>0.06666666667</v>
      </c>
      <c r="AB20" s="17">
        <f t="array" ref="AB20">INDEX(INDIRECT(INDEX($I$7,0) &amp; "!$D$3"),0)</f>
        <v>0.2</v>
      </c>
      <c r="AC20" s="17">
        <f t="array" ref="AC20">INDEX(INDIRECT(INDEX($I$7,0) &amp; "!$D$4"),0)</f>
        <v>0.2</v>
      </c>
      <c r="AD20" s="17">
        <f t="array" ref="AD20">INDEX(INDIRECT(INDEX($I$7,0) &amp; "!$D$5"),0)</f>
        <v>0.2333333333</v>
      </c>
      <c r="AE20" s="17">
        <f t="array" ref="AE20">INDEX(INDIRECT(INDEX($I$7,0) &amp; "!$D$6"),0)</f>
        <v>0.3</v>
      </c>
      <c r="AG20" s="25">
        <f t="array" ref="AG20">INDEX(INDIRECT(INDEX($I$7,0) &amp; "!$C$2"),0)</f>
        <v>2</v>
      </c>
      <c r="AH20" s="25">
        <f t="array" ref="AH20">INDEX(INDIRECT(INDEX($I$7,0) &amp; "!$C$3"),0)</f>
        <v>6</v>
      </c>
      <c r="AI20" s="25">
        <f t="array" ref="AI20">INDEX(INDIRECT(INDEX($I$7,0) &amp; "!$C$4"),0)</f>
        <v>6</v>
      </c>
      <c r="AJ20" s="25">
        <f t="array" ref="AJ20">INDEX(INDIRECT(INDEX($I$7,0) &amp; "!$C$5"),0)</f>
        <v>7</v>
      </c>
      <c r="AK20" s="25">
        <f t="array" ref="AK20">INDEX(INDIRECT(INDEX($I$7,0) &amp; "!$C$6"),0)</f>
        <v>9</v>
      </c>
      <c r="AL20" s="26">
        <f t="shared" si="14"/>
        <v>30</v>
      </c>
    </row>
    <row r="21">
      <c r="A21" s="1" t="s">
        <v>37</v>
      </c>
      <c r="B21" s="17">
        <f t="array" ref="B21">IFERROR(INDEX(INDIRECT(INDEX($G$8,0) &amp; "!$D$18"),0))</f>
        <v>0.0625</v>
      </c>
      <c r="C21" s="17">
        <f t="array" ref="C21">IFERROR(INDEX(INDIRECT(INDEX($H$8,0) &amp; "!$D$18"),0))</f>
        <v>0.3125</v>
      </c>
      <c r="D21" s="17">
        <f t="array" ref="D21">IFERROR(INDEX(INDIRECT(INDEX($I$8,0) &amp; "!$D$18"),0))</f>
        <v>0.4375</v>
      </c>
      <c r="E21" s="17">
        <f t="array" ref="E21">INDEX(INDIRECT(INDEX($J$8,0) &amp; "!$D$18"),0)</f>
        <v>0.5625</v>
      </c>
      <c r="F21" s="30"/>
      <c r="G21" s="5"/>
      <c r="H21" s="5"/>
      <c r="I21" s="5"/>
      <c r="J21" s="5"/>
      <c r="K21" s="21"/>
      <c r="L21" s="17">
        <f t="array" ref="L21">INDEX(INDIRECT(INDEX($I$8,0) &amp; "!$D$14"),0)</f>
        <v>0.5</v>
      </c>
      <c r="M21" s="17">
        <f t="array" ref="M21">INDEX(INDIRECT(INDEX($I$8,0) &amp; "!$D$15"),0)</f>
        <v>0</v>
      </c>
      <c r="N21" s="17">
        <f t="array" ref="N21">INDEX(INDIRECT(INDEX($I$8,0) &amp; "!$D$16"),0)</f>
        <v>0.25</v>
      </c>
      <c r="O21" s="17">
        <f t="array" ref="O21">INDEX(INDIRECT(INDEX($I$8,0) &amp; "!$D$17"),0)</f>
        <v>0.5</v>
      </c>
      <c r="P21" s="20">
        <f t="array" ref="P21">SUM(L21:O21*U21:X21)/Y21</f>
        <v>0.4375</v>
      </c>
      <c r="Q21" s="21">
        <f t="array" ref="Q21">SUM(L21:N21*U21:W21)/SUM(U21:W21)</f>
        <v>0.3333333333</v>
      </c>
      <c r="R21" s="17">
        <f t="shared" si="12"/>
        <v>0.5</v>
      </c>
      <c r="S21" s="21">
        <f t="array" ref="S21">SUM(L21:M21*U21:V21)/SUM(U21:V21)</f>
        <v>0.5</v>
      </c>
      <c r="T21" s="27"/>
      <c r="U21" s="23">
        <f t="array" ref="U21">INDEX(INDIRECT(INDEX($I$8,0) &amp; "!$C$14"),0)</f>
        <v>2</v>
      </c>
      <c r="V21" s="23">
        <f t="array" ref="V21">INDEX(INDIRECT(INDEX($I$8,0) &amp; "!$C$15"),0)</f>
        <v>0</v>
      </c>
      <c r="W21" s="23">
        <f t="array" ref="W21">INDEX(INDIRECT(INDEX($I$8,0) &amp; "!$C$16"),0)</f>
        <v>4</v>
      </c>
      <c r="X21" s="23">
        <f t="array" ref="X21">INDEX(INDIRECT(INDEX($I$8,0) &amp; "!$C$17"),0)</f>
        <v>10</v>
      </c>
      <c r="Y21" s="24">
        <f t="shared" si="13"/>
        <v>16</v>
      </c>
      <c r="Z21" s="21"/>
      <c r="AA21" s="17">
        <f t="array" ref="AA21">INDEX(INDIRECT(INDEX($I$8,0) &amp; "!$D$2"),0)</f>
        <v>0.1428571429</v>
      </c>
      <c r="AB21" s="17">
        <f t="array" ref="AB21">INDEX(INDIRECT(INDEX($I$8,0) &amp; "!$D$3"),0)</f>
        <v>0.1904761905</v>
      </c>
      <c r="AC21" s="17">
        <f t="array" ref="AC21">INDEX(INDIRECT(INDEX($I$8,0) &amp; "!$D$4"),0)</f>
        <v>0.1428571429</v>
      </c>
      <c r="AD21" s="17">
        <f t="array" ref="AD21">INDEX(INDIRECT(INDEX($I$8,0) &amp; "!$D$5"),0)</f>
        <v>0.2857142857</v>
      </c>
      <c r="AE21" s="17">
        <f t="array" ref="AE21">INDEX(INDIRECT(INDEX($I$8,0) &amp; "!$D$6"),0)</f>
        <v>0.2380952381</v>
      </c>
      <c r="AG21" s="25">
        <f t="array" ref="AG21">INDEX(INDIRECT(INDEX($I$8,0) &amp; "!$C$2"),0)</f>
        <v>3</v>
      </c>
      <c r="AH21" s="25">
        <f t="array" ref="AH21">INDEX(INDIRECT(INDEX($I$8,0) &amp; "!$C$3"),0)</f>
        <v>4</v>
      </c>
      <c r="AI21" s="25">
        <f t="array" ref="AI21">INDEX(INDIRECT(INDEX($I$8,0) &amp; "!$C$4"),0)</f>
        <v>3</v>
      </c>
      <c r="AJ21" s="25">
        <f t="array" ref="AJ21">INDEX(INDIRECT(INDEX($I$8,0) &amp; "!$C$5"),0)</f>
        <v>6</v>
      </c>
      <c r="AK21" s="25">
        <f t="array" ref="AK21">INDEX(INDIRECT(INDEX($I$8,0) &amp; "!$C$6"),0)</f>
        <v>5</v>
      </c>
      <c r="AL21" s="26">
        <f t="shared" si="14"/>
        <v>21</v>
      </c>
    </row>
    <row r="22">
      <c r="A22" s="13" t="s">
        <v>42</v>
      </c>
      <c r="B22" s="17">
        <f t="array" ref="B22">IFERROR(INDEX(INDIRECT(INDEX($G$9,0) &amp; "!$D$18"),0))</f>
        <v>0.1333333333</v>
      </c>
      <c r="C22" s="17">
        <f t="array" ref="C22">IFERROR(INDEX(INDIRECT(INDEX($H$9,0) &amp; "!$D$18"),0))</f>
        <v>0.2666666667</v>
      </c>
      <c r="D22" s="17">
        <f t="array" ref="D22">IFERROR(INDEX(INDIRECT(INDEX($I$9,0) &amp; "!$D$18"),0))</f>
        <v>0.4</v>
      </c>
      <c r="E22" s="17">
        <f t="array" ref="E22">INDEX(INDIRECT(INDEX($J$9,0) &amp; "!$D$18"),0)</f>
        <v>0.6</v>
      </c>
      <c r="F22" s="30"/>
      <c r="G22" s="30"/>
      <c r="H22" s="30"/>
      <c r="I22" s="30"/>
      <c r="J22" s="30"/>
      <c r="K22" s="21"/>
      <c r="L22" s="17">
        <f t="array" ref="L22">INDEX(INDIRECT(INDEX($I$9,0) &amp; "!$D$14"),0)</f>
        <v>1</v>
      </c>
      <c r="M22" s="17">
        <f t="array" ref="M22">INDEX(INDIRECT(INDEX($I$9,0) &amp; "!$D$15"),0)</f>
        <v>0</v>
      </c>
      <c r="N22" s="17">
        <f t="array" ref="N22">INDEX(INDIRECT(INDEX($I$9,0) &amp; "!$D$16"),0)</f>
        <v>0.25</v>
      </c>
      <c r="O22" s="17">
        <f t="array" ref="O22">INDEX(INDIRECT(INDEX($I$9,0) &amp; "!$D$17"),0)</f>
        <v>0.4285714286</v>
      </c>
      <c r="P22" s="20">
        <f t="array" ref="P22">SUM(L22:O22*U22:X22)/Y22</f>
        <v>0.4</v>
      </c>
      <c r="Q22" s="21">
        <f t="array" ref="Q22">SUM(L22:N22*U22:W22)/SUM(U22:W22)</f>
        <v>0.375</v>
      </c>
      <c r="R22" s="17">
        <f t="shared" si="12"/>
        <v>0.4545454545</v>
      </c>
      <c r="S22" s="21">
        <f t="array" ref="S22">SUM(L22:M22*U22:V22)/SUM(U22:V22)</f>
        <v>0.5</v>
      </c>
      <c r="T22" s="27"/>
      <c r="U22" s="23">
        <f t="array" ref="U22">INDEX(INDIRECT(INDEX($I$9,0) &amp; "!$C$14"),0)</f>
        <v>2</v>
      </c>
      <c r="V22" s="23">
        <f t="array" ref="V22">INDEX(INDIRECT(INDEX($I$9,0) &amp; "!$C$15"),0)</f>
        <v>2</v>
      </c>
      <c r="W22" s="23">
        <f t="array" ref="W22">INDEX(INDIRECT(INDEX($I$9,0) &amp; "!$C$16"),0)</f>
        <v>4</v>
      </c>
      <c r="X22" s="23">
        <f t="array" ref="X22">INDEX(INDIRECT(INDEX($I$9,0) &amp; "!$C$17"),0)</f>
        <v>7</v>
      </c>
      <c r="Y22" s="24">
        <f t="shared" si="13"/>
        <v>15</v>
      </c>
      <c r="Z22" s="21"/>
      <c r="AA22" s="17">
        <f t="array" ref="AA22">INDEX(INDIRECT(INDEX($I$9,0) &amp; "!$D$2"),0)</f>
        <v>0.04347826087</v>
      </c>
      <c r="AB22" s="17">
        <f t="array" ref="AB22">INDEX(INDIRECT(INDEX($I$9,0) &amp; "!$D$3"),0)</f>
        <v>0.1739130435</v>
      </c>
      <c r="AC22" s="17">
        <f t="array" ref="AC22">INDEX(INDIRECT(INDEX($I$9,0) &amp; "!$D$4"),0)</f>
        <v>0.1304347826</v>
      </c>
      <c r="AD22" s="17">
        <f t="array" ref="AD22">INDEX(INDIRECT(INDEX($I$9,0) &amp; "!$D$5"),0)</f>
        <v>0.2173913043</v>
      </c>
      <c r="AE22" s="17">
        <f t="array" ref="AE22">INDEX(INDIRECT(INDEX($I$9,0) &amp; "!$D$6"),0)</f>
        <v>0.4347826087</v>
      </c>
      <c r="AG22" s="25">
        <f t="array" ref="AG22">INDEX(INDIRECT(INDEX($I$9,0) &amp; "!$C$2"),0)</f>
        <v>1</v>
      </c>
      <c r="AH22" s="25">
        <f t="array" ref="AH22">INDEX(INDIRECT(INDEX($I$9,0) &amp; "!$C$3"),0)</f>
        <v>4</v>
      </c>
      <c r="AI22" s="25">
        <f t="array" ref="AI22">INDEX(INDIRECT(INDEX($I$9,0) &amp; "!$C$4"),0)</f>
        <v>3</v>
      </c>
      <c r="AJ22" s="25">
        <f t="array" ref="AJ22">INDEX(INDIRECT(INDEX($I$9,0) &amp; "!$C$5"),0)</f>
        <v>5</v>
      </c>
      <c r="AK22" s="25">
        <f t="array" ref="AK22">INDEX(INDIRECT(INDEX($I$9,0) &amp; "!$C$6"),0)</f>
        <v>10</v>
      </c>
      <c r="AL22" s="26">
        <f t="shared" si="14"/>
        <v>23</v>
      </c>
    </row>
    <row r="23">
      <c r="A23" s="28" t="s">
        <v>47</v>
      </c>
      <c r="B23" s="29">
        <f t="shared" ref="B23:E23" si="15">AVERAGE(B$17:B22)</f>
        <v>0.11459196</v>
      </c>
      <c r="C23" s="29">
        <f t="shared" si="15"/>
        <v>0.2584785484</v>
      </c>
      <c r="D23" s="29">
        <f t="shared" si="15"/>
        <v>0.440307971</v>
      </c>
      <c r="E23" s="29">
        <f t="shared" si="15"/>
        <v>0.5744148263</v>
      </c>
      <c r="F23" s="30"/>
      <c r="G23" s="5"/>
      <c r="H23" s="5"/>
      <c r="I23" s="5"/>
      <c r="J23" s="5"/>
      <c r="K23" s="21"/>
      <c r="L23" s="29">
        <f t="shared" ref="L23:S23" si="16">AVERAGE(L17:L22)</f>
        <v>0.8611111111</v>
      </c>
      <c r="M23" s="31">
        <f t="shared" si="16"/>
        <v>0.1904761905</v>
      </c>
      <c r="N23" s="29">
        <f t="shared" si="16"/>
        <v>0.25</v>
      </c>
      <c r="O23" s="31">
        <f t="shared" si="16"/>
        <v>0.4510582011</v>
      </c>
      <c r="P23" s="32">
        <f t="shared" si="16"/>
        <v>0.440307971</v>
      </c>
      <c r="Q23" s="29">
        <f t="shared" si="16"/>
        <v>0.4212301587</v>
      </c>
      <c r="R23" s="31">
        <f t="shared" si="16"/>
        <v>0.5021986785</v>
      </c>
      <c r="S23" s="29">
        <f t="shared" si="16"/>
        <v>0.5666666667</v>
      </c>
      <c r="T23" s="27"/>
      <c r="U23" s="34">
        <f t="shared" ref="U23:X23" si="17">SUM(U17:U22)</f>
        <v>16</v>
      </c>
      <c r="V23" s="34">
        <f t="shared" si="17"/>
        <v>17</v>
      </c>
      <c r="W23" s="34">
        <f t="shared" si="17"/>
        <v>24</v>
      </c>
      <c r="X23" s="34">
        <f t="shared" si="17"/>
        <v>47</v>
      </c>
      <c r="Y23" s="35">
        <f t="shared" si="13"/>
        <v>104</v>
      </c>
      <c r="Z23" s="21"/>
      <c r="AA23" s="29">
        <f t="shared" ref="AA23:AE23" si="18">AVERAGE(AA17:AA22)</f>
        <v>0.07665697829</v>
      </c>
      <c r="AB23" s="31">
        <f t="shared" si="18"/>
        <v>0.1352670277</v>
      </c>
      <c r="AC23" s="31">
        <f t="shared" si="18"/>
        <v>0.1824912406</v>
      </c>
      <c r="AD23" s="29">
        <f t="shared" si="18"/>
        <v>0.2789317566</v>
      </c>
      <c r="AE23" s="29">
        <f t="shared" si="18"/>
        <v>0.3266529968</v>
      </c>
      <c r="AG23" s="37">
        <f t="shared" ref="AG23:AK23" si="19">SUM(AG17:AG22)</f>
        <v>11</v>
      </c>
      <c r="AH23" s="37">
        <f t="shared" si="19"/>
        <v>20</v>
      </c>
      <c r="AI23" s="37">
        <f t="shared" si="19"/>
        <v>27</v>
      </c>
      <c r="AJ23" s="37">
        <f t="shared" si="19"/>
        <v>41</v>
      </c>
      <c r="AK23" s="37">
        <f t="shared" si="19"/>
        <v>48</v>
      </c>
      <c r="AL23" s="38">
        <f t="shared" si="14"/>
        <v>147</v>
      </c>
    </row>
    <row r="24">
      <c r="A24" s="13" t="s">
        <v>49</v>
      </c>
      <c r="B24" s="17">
        <f t="array" ref="B24">SUM(B17:B22*$Y43:$Y48)/$Y49</f>
        <v>0.1153846154</v>
      </c>
      <c r="C24" s="17">
        <f t="array" ref="C24">SUM(C17:C22*$Y30:$Y35)/$Y36</f>
        <v>0.25</v>
      </c>
      <c r="D24" s="17">
        <f t="array" ref="D24">SUM(D17:D22*$Y17:$Y22)/$Y23</f>
        <v>0.4326923077</v>
      </c>
      <c r="E24" s="17">
        <f t="array" ref="E24">SUM(E17:E22*$Y4:$Y9)/$Y10</f>
        <v>0.5673076923</v>
      </c>
      <c r="F24" s="5"/>
      <c r="G24" s="5"/>
      <c r="H24" s="7"/>
      <c r="I24" s="7"/>
      <c r="J24" s="5"/>
      <c r="K24" s="21"/>
      <c r="L24" s="21">
        <f t="array" ref="L24">SUM(L17:L22*U17:U22)/U23</f>
        <v>0.875</v>
      </c>
      <c r="M24" s="21">
        <f t="array" ref="M24">SUM(M17:M22*V17:V22)/V23</f>
        <v>0.2352941176</v>
      </c>
      <c r="N24" s="21">
        <f t="array" ref="N24">SUM(N17:N22*W17:W22)/W23</f>
        <v>0.25</v>
      </c>
      <c r="O24" s="21">
        <f t="array" ref="O24">SUM(O17:O22*X17:X22)/X23</f>
        <v>0.4468085106</v>
      </c>
      <c r="P24" s="40">
        <f t="array" ref="P24">SUM(P17:P22*Y17:Y22)/Y23</f>
        <v>0.4326923077</v>
      </c>
      <c r="Q24" s="17">
        <f t="array" ref="Q24">SUM(Q17:Q22*Y17:Y22-X17:X22)/SUM(U23:W23)</f>
        <v>0.4210526316</v>
      </c>
      <c r="R24" s="41">
        <f t="array" ref="R24">SUM(R17:R22*Y17:Y22-W17:W22)/(SUM(U23:X23)-W23)</f>
        <v>0.4875</v>
      </c>
      <c r="S24" s="17">
        <f t="array" ref="S24">SUM(S17:S22*U17:U22+V17:V22)/SUM(U23:V23)</f>
        <v>0.5454545455</v>
      </c>
      <c r="T24" s="27"/>
      <c r="U24" s="27"/>
      <c r="V24" s="27"/>
      <c r="W24" s="27"/>
      <c r="X24" s="27"/>
      <c r="Z24" s="21"/>
      <c r="AA24" s="21">
        <f t="shared" ref="AA24:AE24" si="20">AG23/$AL23</f>
        <v>0.07482993197</v>
      </c>
      <c r="AB24" s="21">
        <f t="shared" si="20"/>
        <v>0.1360544218</v>
      </c>
      <c r="AC24" s="21">
        <f t="shared" si="20"/>
        <v>0.1836734694</v>
      </c>
      <c r="AD24" s="21">
        <f t="shared" si="20"/>
        <v>0.2789115646</v>
      </c>
      <c r="AE24" s="21">
        <f t="shared" si="20"/>
        <v>0.3265306122</v>
      </c>
      <c r="AF24" s="36">
        <f>SUM(AA24:AE24)</f>
        <v>1</v>
      </c>
    </row>
    <row r="25">
      <c r="A25" s="11" t="s">
        <v>50</v>
      </c>
      <c r="B25" s="17">
        <f t="shared" ref="B25:D25" si="21">B23-$E23</f>
        <v>-0.4598228663</v>
      </c>
      <c r="C25" s="17">
        <f t="shared" si="21"/>
        <v>-0.3159362779</v>
      </c>
      <c r="D25" s="17">
        <f t="shared" si="21"/>
        <v>-0.1341068553</v>
      </c>
      <c r="E25" s="42"/>
      <c r="F25" s="5"/>
      <c r="G25" s="5"/>
      <c r="H25" s="5"/>
      <c r="I25" s="46"/>
      <c r="J25" s="5"/>
      <c r="K25" s="21"/>
      <c r="L25" s="21"/>
      <c r="M25" s="21"/>
      <c r="N25" s="21"/>
      <c r="Z25" s="21"/>
      <c r="AA25" s="21"/>
      <c r="AB25" s="21"/>
      <c r="AC25" s="21"/>
      <c r="AD25" s="21"/>
      <c r="AE25" s="21"/>
    </row>
    <row r="26">
      <c r="A26" s="11" t="s">
        <v>52</v>
      </c>
      <c r="B26" s="45">
        <f t="shared" ref="B26:D26" si="22">TTEST(B17:B22, $E17:$E22, 1, 1)</f>
        <v>0.0002055430919</v>
      </c>
      <c r="C26" s="45">
        <f t="shared" si="22"/>
        <v>0.000008015087982</v>
      </c>
      <c r="D26" s="45">
        <f t="shared" si="22"/>
        <v>0.0003632164386</v>
      </c>
      <c r="E26" s="42"/>
      <c r="F26" s="5"/>
      <c r="G26" s="7"/>
      <c r="H26" s="7"/>
      <c r="I26" s="7"/>
      <c r="J26" s="7"/>
      <c r="L26" s="22"/>
      <c r="M26" s="22"/>
      <c r="N26" s="22"/>
      <c r="O26" s="22"/>
    </row>
    <row r="27">
      <c r="A27" s="11"/>
      <c r="B27" s="45"/>
      <c r="C27" s="45"/>
      <c r="D27" s="45"/>
      <c r="E27" s="45"/>
      <c r="F27" s="30"/>
      <c r="G27" s="5"/>
      <c r="H27" s="5"/>
      <c r="I27" s="5"/>
      <c r="J27" s="5"/>
      <c r="L27" s="45"/>
      <c r="M27" s="45"/>
      <c r="N27" s="45"/>
      <c r="O27" s="45"/>
    </row>
    <row r="28">
      <c r="A28" s="1"/>
      <c r="B28" s="17"/>
      <c r="C28" s="17"/>
      <c r="D28" s="17"/>
      <c r="E28" s="17"/>
      <c r="F28" s="30"/>
      <c r="G28" s="5"/>
      <c r="H28" s="5"/>
      <c r="I28" s="5"/>
      <c r="J28" s="5"/>
    </row>
    <row r="29">
      <c r="A29" s="1"/>
      <c r="B29" s="15" t="s">
        <v>56</v>
      </c>
      <c r="F29" s="5"/>
      <c r="G29" s="5"/>
      <c r="H29" s="5"/>
      <c r="I29" s="5"/>
      <c r="J29" s="5"/>
      <c r="L29" s="49">
        <v>25000.0</v>
      </c>
      <c r="U29" s="49">
        <v>25000.0</v>
      </c>
      <c r="AA29" s="49">
        <v>25000.0</v>
      </c>
      <c r="AG29" s="49">
        <v>25000.0</v>
      </c>
    </row>
    <row r="30">
      <c r="A30" s="1" t="s">
        <v>17</v>
      </c>
      <c r="B30" s="17">
        <f t="shared" ref="B30:E30" si="23">IF(B4, 2*B4*B17/(B4+B17), "")</f>
        <v>0.1333333333</v>
      </c>
      <c r="C30" s="17">
        <f t="shared" si="23"/>
        <v>0.4081632653</v>
      </c>
      <c r="D30" s="17">
        <f t="shared" si="23"/>
        <v>0.5714285714</v>
      </c>
      <c r="E30" s="17">
        <f t="shared" si="23"/>
        <v>0.6104417671</v>
      </c>
      <c r="F30" s="5"/>
      <c r="G30" s="5"/>
      <c r="H30" s="5"/>
      <c r="I30" s="5"/>
      <c r="J30" s="5"/>
      <c r="L30" s="17">
        <f t="array" ref="L30">INDEX(INDIRECT(INDEX($H$4,0) &amp; "!$D$14"),0)</f>
        <v>1</v>
      </c>
      <c r="M30" s="17">
        <f t="array" ref="M30">INDEX(INDIRECT(INDEX($H$4,0) &amp; "!$D$15"),0)</f>
        <v>0.3333333333</v>
      </c>
      <c r="N30" s="17">
        <f t="array" ref="N30">INDEX(INDIRECT(INDEX($H$4,0) &amp; "!$D$16"),0)</f>
        <v>0</v>
      </c>
      <c r="O30" s="17">
        <f t="array" ref="O30">INDEX(INDIRECT(INDEX($H$4,0) &amp; "!$D$17"),0)</f>
        <v>0</v>
      </c>
      <c r="P30" s="20">
        <f t="array" ref="P30">SUM(L30:O30*U30:X30)/Y30</f>
        <v>0.2857142857</v>
      </c>
      <c r="Q30" s="21">
        <f t="array" ref="Q30">SUM(L30:N30*U30:W30)/SUM(U30:W30)</f>
        <v>0.4</v>
      </c>
      <c r="R30" s="17">
        <f t="shared" ref="R30:R35" si="25">(L30*U30+M30*V30+O30*X30)/(U30+V30+X30)</f>
        <v>0.4</v>
      </c>
      <c r="S30" s="21">
        <f t="array" ref="S30">SUM(L30:M30*U30:V30)/SUM(U30:V30)</f>
        <v>0.6666666667</v>
      </c>
      <c r="U30" s="23">
        <f t="array" ref="U30">INDEX(INDIRECT(INDEX($H$4,0) &amp; "!$C$14"),0)</f>
        <v>3</v>
      </c>
      <c r="V30" s="23">
        <f t="array" ref="V30">INDEX(INDIRECT(INDEX($H$4,0) &amp; "!$C$15"),0)</f>
        <v>3</v>
      </c>
      <c r="W30" s="23">
        <f t="array" ref="W30">INDEX(INDIRECT(INDEX($H$4,0) &amp; "!$C$16"),0)</f>
        <v>4</v>
      </c>
      <c r="X30" s="23">
        <f t="array" ref="X30">INDEX(INDIRECT(INDEX($H$4,0) &amp; "!$C$17"),0)</f>
        <v>4</v>
      </c>
      <c r="Y30" s="24">
        <f t="shared" ref="Y30:Y36" si="26">SUM(U30:X30)</f>
        <v>14</v>
      </c>
      <c r="AA30" s="17">
        <f t="array" ref="AA30">INDEX(INDIRECT(INDEX($H$4,0) &amp; "!$D$2"),0)</f>
        <v>0.07142857143</v>
      </c>
      <c r="AB30" s="17">
        <f t="array" ref="AB30">INDEX(INDIRECT(INDEX($H$4,0) &amp; "!$D$3"),0)</f>
        <v>0.07142857143</v>
      </c>
      <c r="AC30" s="17">
        <f t="array" ref="AC30">INDEX(INDIRECT(INDEX($H$4,0) &amp; "!$D$4"),0)</f>
        <v>0.1428571429</v>
      </c>
      <c r="AD30" s="17">
        <f t="array" ref="AD30">INDEX(INDIRECT(INDEX($H$4,0) &amp; "!$D$5"),0)</f>
        <v>0.2857142857</v>
      </c>
      <c r="AE30" s="17">
        <f t="array" ref="AE30">INDEX(INDIRECT(INDEX($H$4,0) &amp; "!$D$6"),0)</f>
        <v>0.4285714286</v>
      </c>
      <c r="AG30" s="25">
        <f t="array" ref="AG30">INDEX(INDIRECT(INDEX($H$4,0) &amp; "!$C$2"),0)</f>
        <v>1</v>
      </c>
      <c r="AH30" s="25">
        <f t="array" ref="AH30">INDEX(INDIRECT(INDEX($H$4,0) &amp; "!$C$3"),0)</f>
        <v>1</v>
      </c>
      <c r="AI30" s="25">
        <f t="array" ref="AI30">INDEX(INDIRECT(INDEX($H$4,0) &amp; "!$C$4"),0)</f>
        <v>2</v>
      </c>
      <c r="AJ30" s="25">
        <f t="array" ref="AJ30">INDEX(INDIRECT(INDEX($H$4,0) &amp; "!$C$5"),0)</f>
        <v>4</v>
      </c>
      <c r="AK30" s="25">
        <f t="array" ref="AK30">INDEX(INDIRECT(INDEX($H$4,0) &amp; "!$C$6"),0)</f>
        <v>6</v>
      </c>
      <c r="AL30" s="26">
        <f t="shared" ref="AL30:AL36" si="27">SUM(AG30:AK30)</f>
        <v>14</v>
      </c>
    </row>
    <row r="31">
      <c r="A31" s="1" t="s">
        <v>22</v>
      </c>
      <c r="B31" s="17">
        <f t="shared" ref="B31:E31" si="24">IF(B5, 2*B5*B18/(B5+B18), "")</f>
        <v>0.4347826087</v>
      </c>
      <c r="C31" s="21">
        <f t="shared" si="24"/>
        <v>0.253968254</v>
      </c>
      <c r="D31" s="21">
        <f t="shared" si="24"/>
        <v>0.4607594937</v>
      </c>
      <c r="E31" s="21">
        <f t="shared" si="24"/>
        <v>0.5333333333</v>
      </c>
      <c r="F31" s="30"/>
      <c r="G31" s="5"/>
      <c r="H31" s="5"/>
      <c r="I31" s="5"/>
      <c r="J31" s="5"/>
      <c r="K31" s="21"/>
      <c r="L31" s="17">
        <f t="array" ref="L31">INDEX(INDIRECT(INDEX($H$5,0) &amp; "!$D$14"),0)</f>
        <v>0.3333333333</v>
      </c>
      <c r="M31" s="17">
        <f t="array" ref="M31">INDEX(INDIRECT(INDEX($H$5,0) &amp; "!$D$15"),0)</f>
        <v>0</v>
      </c>
      <c r="N31" s="17">
        <f t="array" ref="N31">INDEX(INDIRECT(INDEX($H$5,0) &amp; "!$D$16"),0)</f>
        <v>0</v>
      </c>
      <c r="O31" s="17">
        <f t="array" ref="O31">INDEX(INDIRECT(INDEX($H$5,0) &amp; "!$D$17"),0)</f>
        <v>0.2222222222</v>
      </c>
      <c r="P31" s="20">
        <f t="array" ref="P31">SUM(L31:O31*U31:X31)/Y31</f>
        <v>0.1666666667</v>
      </c>
      <c r="Q31" s="21">
        <f t="array" ref="Q31">SUM(L31:N31*U31:W31)/SUM(U31:W31)</f>
        <v>0.1111111111</v>
      </c>
      <c r="R31" s="17">
        <f t="shared" si="25"/>
        <v>0.2142857143</v>
      </c>
      <c r="S31" s="21">
        <f t="array" ref="S31">SUM(L31:M31*U31:V31)/SUM(U31:V31)</f>
        <v>0.2</v>
      </c>
      <c r="T31" s="27"/>
      <c r="U31" s="23">
        <f t="array" ref="U31">INDEX(INDIRECT(INDEX($H$5,0) &amp; "!$C$14"),0)</f>
        <v>3</v>
      </c>
      <c r="V31" s="23">
        <f t="array" ref="V31">INDEX(INDIRECT(INDEX($H$5,0) &amp; "!$C$15"),0)</f>
        <v>2</v>
      </c>
      <c r="W31" s="23">
        <f t="array" ref="W31">INDEX(INDIRECT(INDEX($H$5,0) &amp; "!$C$16"),0)</f>
        <v>4</v>
      </c>
      <c r="X31" s="23">
        <f t="array" ref="X31">INDEX(INDIRECT(INDEX($H$5,0) &amp; "!$C$17"),0)</f>
        <v>9</v>
      </c>
      <c r="Y31" s="24">
        <f t="shared" si="26"/>
        <v>18</v>
      </c>
      <c r="Z31" s="21"/>
      <c r="AA31" s="17">
        <f t="array" ref="AA31">INDEX(INDIRECT(INDEX($H$5,0) &amp; "!$D$2"),0)</f>
        <v>0.06666666667</v>
      </c>
      <c r="AB31" s="17">
        <f t="array" ref="AB31">INDEX(INDIRECT(INDEX($H$5,0) &amp; "!$D$3"),0)</f>
        <v>0.2</v>
      </c>
      <c r="AC31" s="17">
        <f t="array" ref="AC31">INDEX(INDIRECT(INDEX($H$5,0) &amp; "!$D$4"),0)</f>
        <v>0.2</v>
      </c>
      <c r="AD31" s="17">
        <f t="array" ref="AD31">INDEX(INDIRECT(INDEX($H$5,0) &amp; "!$D$5"),0)</f>
        <v>0.2</v>
      </c>
      <c r="AE31" s="17">
        <f t="array" ref="AE31">INDEX(INDIRECT(INDEX($H$5,0) &amp; "!$D$6"),0)</f>
        <v>0.3333333333</v>
      </c>
      <c r="AG31" s="25">
        <f t="array" ref="AG31">INDEX(INDIRECT(INDEX($H$5,0) &amp; "!$C$2"),0)</f>
        <v>1</v>
      </c>
      <c r="AH31" s="25">
        <f t="array" ref="AH31">INDEX(INDIRECT(INDEX($H$5,0) &amp; "!$C$3"),0)</f>
        <v>3</v>
      </c>
      <c r="AI31" s="25">
        <f t="array" ref="AI31">INDEX(INDIRECT(INDEX($H$5,0) &amp; "!$C$4"),0)</f>
        <v>3</v>
      </c>
      <c r="AJ31" s="25">
        <f t="array" ref="AJ31">INDEX(INDIRECT(INDEX($H$5,0) &amp; "!$C$5"),0)</f>
        <v>3</v>
      </c>
      <c r="AK31" s="25">
        <f t="array" ref="AK31">INDEX(INDIRECT(INDEX($H$5,0) &amp; "!$C$6"),0)</f>
        <v>5</v>
      </c>
      <c r="AL31" s="26">
        <f t="shared" si="27"/>
        <v>15</v>
      </c>
    </row>
    <row r="32">
      <c r="A32" s="1" t="s">
        <v>27</v>
      </c>
      <c r="B32" s="17">
        <f t="shared" ref="B32:E32" si="28">IF(B6, 2*B6*B19/(B6+B19), "")</f>
        <v>0.1052631579</v>
      </c>
      <c r="C32" s="21">
        <f t="shared" si="28"/>
        <v>0.5303030303</v>
      </c>
      <c r="D32" s="21">
        <f t="shared" si="28"/>
        <v>0.6491803279</v>
      </c>
      <c r="E32" s="21">
        <f t="shared" si="28"/>
        <v>0.6721504113</v>
      </c>
      <c r="F32" s="5"/>
      <c r="G32" s="5"/>
      <c r="H32" s="5"/>
      <c r="I32" s="5"/>
      <c r="J32" s="5"/>
      <c r="K32" s="21"/>
      <c r="L32" s="17">
        <f t="array" ref="L32">INDEX(INDIRECT(INDEX($H$6,0) &amp; "!$D$14"),0)</f>
        <v>1</v>
      </c>
      <c r="M32" s="17">
        <f t="array" ref="M32">INDEX(INDIRECT(INDEX($H$6,0) &amp; "!$D$15"),0)</f>
        <v>0</v>
      </c>
      <c r="N32" s="17">
        <f t="array" ref="N32">INDEX(INDIRECT(INDEX($H$6,0) &amp; "!$D$16"),0)</f>
        <v>0.25</v>
      </c>
      <c r="O32" s="17">
        <f t="array" ref="O32">INDEX(INDIRECT(INDEX($H$6,0) &amp; "!$D$17"),0)</f>
        <v>0.375</v>
      </c>
      <c r="P32" s="20">
        <f t="array" ref="P32">SUM(L32:O32*U32:X32)/Y32</f>
        <v>0.3888888889</v>
      </c>
      <c r="Q32" s="21">
        <f t="array" ref="Q32">SUM(L32:N32*U32:W32)/SUM(U32:W32)</f>
        <v>0.4</v>
      </c>
      <c r="R32" s="17">
        <f t="shared" si="25"/>
        <v>0.4285714286</v>
      </c>
      <c r="S32" s="21">
        <f t="array" ref="S32">SUM(L32:M32*U32:V32)/SUM(U32:V32)</f>
        <v>0.5</v>
      </c>
      <c r="T32" s="27"/>
      <c r="U32" s="23">
        <f t="array" ref="U32">INDEX(INDIRECT(INDEX($H$6,0) &amp; "!$C$14"),0)</f>
        <v>3</v>
      </c>
      <c r="V32" s="23">
        <f t="array" ref="V32">INDEX(INDIRECT(INDEX($H$6,0) &amp; "!$C$15"),0)</f>
        <v>3</v>
      </c>
      <c r="W32" s="23">
        <f t="array" ref="W32">INDEX(INDIRECT(INDEX($H$6,0) &amp; "!$C$16"),0)</f>
        <v>4</v>
      </c>
      <c r="X32" s="23">
        <f t="array" ref="X32">INDEX(INDIRECT(INDEX($H$6,0) &amp; "!$C$17"),0)</f>
        <v>8</v>
      </c>
      <c r="Y32" s="24">
        <f t="shared" si="26"/>
        <v>18</v>
      </c>
      <c r="Z32" s="21"/>
      <c r="AA32" s="17">
        <f t="array" ref="AA32">INDEX(INDIRECT(INDEX($H$6,0) &amp; "!$D$2"),0)</f>
        <v>0.08333333333</v>
      </c>
      <c r="AB32" s="17">
        <f t="array" ref="AB32">INDEX(INDIRECT(INDEX($H$6,0) &amp; "!$D$3"),0)</f>
        <v>0</v>
      </c>
      <c r="AC32" s="17">
        <f t="array" ref="AC32">INDEX(INDIRECT(INDEX($H$6,0) &amp; "!$D$4"),0)</f>
        <v>0.08333333333</v>
      </c>
      <c r="AD32" s="17">
        <f t="array" ref="AD32">INDEX(INDIRECT(INDEX($H$6,0) &amp; "!$D$5"),0)</f>
        <v>0.5</v>
      </c>
      <c r="AE32" s="17">
        <f t="array" ref="AE32">INDEX(INDIRECT(INDEX($H$6,0) &amp; "!$D$6"),0)</f>
        <v>0.3333333333</v>
      </c>
      <c r="AG32" s="25">
        <f t="array" ref="AG32">INDEX(INDIRECT(INDEX($H$6,0) &amp; "!$C$2"),0)</f>
        <v>1</v>
      </c>
      <c r="AH32" s="25">
        <f t="array" ref="AH32">INDEX(INDIRECT(INDEX($H$6,0) &amp; "!$C$3"),0)</f>
        <v>0</v>
      </c>
      <c r="AI32" s="25">
        <f t="array" ref="AI32">INDEX(INDIRECT(INDEX($H$6,0) &amp; "!$C$4"),0)</f>
        <v>1</v>
      </c>
      <c r="AJ32" s="25">
        <f t="array" ref="AJ32">INDEX(INDIRECT(INDEX($H$6,0) &amp; "!$C$5"),0)</f>
        <v>6</v>
      </c>
      <c r="AK32" s="25">
        <f t="array" ref="AK32">INDEX(INDIRECT(INDEX($H$6,0) &amp; "!$C$6"),0)</f>
        <v>4</v>
      </c>
      <c r="AL32" s="26">
        <f t="shared" si="27"/>
        <v>12</v>
      </c>
    </row>
    <row r="33">
      <c r="A33" s="1" t="s">
        <v>32</v>
      </c>
      <c r="B33" s="17">
        <f t="shared" ref="B33:E33" si="29">IF(B7, 2*B7*B20/(B7+B20), "")</f>
        <v>0.1538461538</v>
      </c>
      <c r="C33" s="21">
        <f t="shared" si="29"/>
        <v>0.2152466368</v>
      </c>
      <c r="D33" s="21">
        <f t="shared" si="29"/>
        <v>0.3875432526</v>
      </c>
      <c r="E33" s="21">
        <f t="shared" si="29"/>
        <v>0.5012964564</v>
      </c>
      <c r="F33" s="5"/>
      <c r="G33" s="5"/>
      <c r="H33" s="5"/>
      <c r="I33" s="5"/>
      <c r="J33" s="5"/>
      <c r="K33" s="21"/>
      <c r="L33" s="17">
        <f t="array" ref="L33">INDEX(INDIRECT(INDEX($H$7,0) &amp; "!$D$14"),0)</f>
        <v>0.3333333333</v>
      </c>
      <c r="M33" s="17">
        <f t="array" ref="M33">INDEX(INDIRECT(INDEX($H$7,0) &amp; "!$D$15"),0)</f>
        <v>0.1428571429</v>
      </c>
      <c r="N33" s="17">
        <f t="array" ref="N33">INDEX(INDIRECT(INDEX($H$7,0) &amp; "!$D$16"),0)</f>
        <v>0</v>
      </c>
      <c r="O33" s="17">
        <f t="array" ref="O33">INDEX(INDIRECT(INDEX($H$7,0) &amp; "!$D$17"),0)</f>
        <v>0.1111111111</v>
      </c>
      <c r="P33" s="20">
        <f t="array" ref="P33">SUM(L33:O33*U33:X33)/Y33</f>
        <v>0.1304347826</v>
      </c>
      <c r="Q33" s="21">
        <f t="array" ref="Q33">SUM(L33:N33*U33:W33)/SUM(U33:W33)</f>
        <v>0.1428571429</v>
      </c>
      <c r="R33" s="17">
        <f t="shared" si="25"/>
        <v>0.1578947368</v>
      </c>
      <c r="S33" s="21">
        <f t="array" ref="S33">SUM(L33:M33*U33:V33)/SUM(U33:V33)</f>
        <v>0.2</v>
      </c>
      <c r="T33" s="27"/>
      <c r="U33" s="23">
        <f t="array" ref="U33">INDEX(INDIRECT(INDEX($H$7,0) &amp; "!$C$14"),0)</f>
        <v>3</v>
      </c>
      <c r="V33" s="23">
        <f t="array" ref="V33">INDEX(INDIRECT(INDEX($H$7,0) &amp; "!$C$15"),0)</f>
        <v>7</v>
      </c>
      <c r="W33" s="23">
        <f t="array" ref="W33">INDEX(INDIRECT(INDEX($H$7,0) &amp; "!$C$16"),0)</f>
        <v>4</v>
      </c>
      <c r="X33" s="23">
        <f t="array" ref="X33">INDEX(INDIRECT(INDEX($H$7,0) &amp; "!$C$17"),0)</f>
        <v>9</v>
      </c>
      <c r="Y33" s="24">
        <f t="shared" si="26"/>
        <v>23</v>
      </c>
      <c r="Z33" s="21"/>
      <c r="AA33" s="17">
        <f t="array" ref="AA33">INDEX(INDIRECT(INDEX($H$7,0) &amp; "!$D$2"),0)</f>
        <v>0</v>
      </c>
      <c r="AB33" s="17">
        <f t="array" ref="AB33">INDEX(INDIRECT(INDEX($H$7,0) &amp; "!$D$3"),0)</f>
        <v>0.2307692308</v>
      </c>
      <c r="AC33" s="17">
        <f t="array" ref="AC33">INDEX(INDIRECT(INDEX($H$7,0) &amp; "!$D$4"),0)</f>
        <v>0.1538461538</v>
      </c>
      <c r="AD33" s="17">
        <f t="array" ref="AD33">INDEX(INDIRECT(INDEX($H$7,0) &amp; "!$D$5"),0)</f>
        <v>0.2307692308</v>
      </c>
      <c r="AE33" s="17">
        <f t="array" ref="AE33">INDEX(INDIRECT(INDEX($H$7,0) &amp; "!$D$6"),0)</f>
        <v>0.3846153846</v>
      </c>
      <c r="AG33" s="25">
        <f t="array" ref="AG33">INDEX(INDIRECT(INDEX($H$7,0) &amp; "!$C$2"),0)</f>
        <v>0</v>
      </c>
      <c r="AH33" s="25">
        <f t="array" ref="AH33">INDEX(INDIRECT(INDEX($H$7,0) &amp; "!$C$3"),0)</f>
        <v>3</v>
      </c>
      <c r="AI33" s="25">
        <f t="array" ref="AI33">INDEX(INDIRECT(INDEX($H$7,0) &amp; "!$C$4"),0)</f>
        <v>2</v>
      </c>
      <c r="AJ33" s="25">
        <f t="array" ref="AJ33">INDEX(INDIRECT(INDEX($H$7,0) &amp; "!$C$5"),0)</f>
        <v>3</v>
      </c>
      <c r="AK33" s="25">
        <f t="array" ref="AK33">INDEX(INDIRECT(INDEX($H$7,0) &amp; "!$C$6"),0)</f>
        <v>5</v>
      </c>
      <c r="AL33" s="26">
        <f t="shared" si="27"/>
        <v>13</v>
      </c>
    </row>
    <row r="34">
      <c r="A34" s="13" t="s">
        <v>37</v>
      </c>
      <c r="B34" s="17">
        <f t="shared" ref="B34:E34" si="30">IF(B8, 2*B8*B21/(B8+B21), "")</f>
        <v>0.1176470588</v>
      </c>
      <c r="C34" s="21">
        <f t="shared" si="30"/>
        <v>0.3846153846</v>
      </c>
      <c r="D34" s="21">
        <f t="shared" si="30"/>
        <v>0.4767801858</v>
      </c>
      <c r="E34" s="21">
        <f t="shared" si="30"/>
        <v>0.4921875</v>
      </c>
      <c r="F34" s="5"/>
      <c r="G34" s="30"/>
      <c r="H34" s="30"/>
      <c r="I34" s="30"/>
      <c r="J34" s="30"/>
      <c r="K34" s="21"/>
      <c r="L34" s="17">
        <f t="array" ref="L34">INDEX(INDIRECT(INDEX($H$8,0) &amp; "!$D$14"),0)</f>
        <v>1</v>
      </c>
      <c r="M34" s="17">
        <f t="array" ref="M34">INDEX(INDIRECT(INDEX($H$8,0) &amp; "!$D$15"),0)</f>
        <v>0</v>
      </c>
      <c r="N34" s="17">
        <f t="array" ref="N34">INDEX(INDIRECT(INDEX($H$8,0) &amp; "!$D$16"),0)</f>
        <v>0.25</v>
      </c>
      <c r="O34" s="17">
        <f t="array" ref="O34">INDEX(INDIRECT(INDEX($H$8,0) &amp; "!$D$17"),0)</f>
        <v>0.2</v>
      </c>
      <c r="P34" s="20">
        <f t="array" ref="P34">SUM(L34:O34*U34:X34)/Y34</f>
        <v>0.3125</v>
      </c>
      <c r="Q34" s="21">
        <f t="array" ref="Q34">SUM(L34:N34*U34:W34)/SUM(U34:W34)</f>
        <v>0.5</v>
      </c>
      <c r="R34" s="17">
        <f t="shared" si="25"/>
        <v>0.3333333333</v>
      </c>
      <c r="S34" s="21">
        <f t="array" ref="S34">SUM(L34:M34*U34:V34)/SUM(U34:V34)</f>
        <v>1</v>
      </c>
      <c r="T34" s="27"/>
      <c r="U34" s="23">
        <f t="array" ref="U34">INDEX(INDIRECT(INDEX($H$8,0) &amp; "!$C$14"),0)</f>
        <v>2</v>
      </c>
      <c r="V34" s="23">
        <f t="array" ref="V34">INDEX(INDIRECT(INDEX($H$8,0) &amp; "!$C$15"),0)</f>
        <v>0</v>
      </c>
      <c r="W34" s="23">
        <f t="array" ref="W34">INDEX(INDIRECT(INDEX($H$8,0) &amp; "!$C$16"),0)</f>
        <v>4</v>
      </c>
      <c r="X34" s="23">
        <f t="array" ref="X34">INDEX(INDIRECT(INDEX($H$8,0) &amp; "!$C$17"),0)</f>
        <v>10</v>
      </c>
      <c r="Y34" s="24">
        <f t="shared" si="26"/>
        <v>16</v>
      </c>
      <c r="Z34" s="21"/>
      <c r="AA34" s="17">
        <f t="array" ref="AA34">INDEX(INDIRECT(INDEX($H$8,0) &amp; "!$D$2"),0)</f>
        <v>0.4166666667</v>
      </c>
      <c r="AB34" s="17">
        <f t="array" ref="AB34">INDEX(INDIRECT(INDEX($H$8,0) &amp; "!$D$3"),0)</f>
        <v>0</v>
      </c>
      <c r="AC34" s="17">
        <f t="array" ref="AC34">INDEX(INDIRECT(INDEX($H$8,0) &amp; "!$D$4"),0)</f>
        <v>0.08333333333</v>
      </c>
      <c r="AD34" s="17">
        <f t="array" ref="AD34">INDEX(INDIRECT(INDEX($H$8,0) &amp; "!$D$5"),0)</f>
        <v>0.3333333333</v>
      </c>
      <c r="AE34" s="17">
        <f t="array" ref="AE34">INDEX(INDIRECT(INDEX($H$8,0) &amp; "!$D$6"),0)</f>
        <v>0.1666666667</v>
      </c>
      <c r="AG34" s="25">
        <f t="array" ref="AG34">INDEX(INDIRECT(INDEX($H$8,0) &amp; "!$C$2"),0)</f>
        <v>5</v>
      </c>
      <c r="AH34" s="25">
        <f t="array" ref="AH34">INDEX(INDIRECT(INDEX($H$8,0) &amp; "!$C$3"),0)</f>
        <v>0</v>
      </c>
      <c r="AI34" s="25">
        <f t="array" ref="AI34">INDEX(INDIRECT(INDEX($H$8,0) &amp; "!$C$4"),0)</f>
        <v>1</v>
      </c>
      <c r="AJ34" s="25">
        <f t="array" ref="AJ34">INDEX(INDIRECT(INDEX($H$8,0) &amp; "!$C$5"),0)</f>
        <v>4</v>
      </c>
      <c r="AK34" s="25">
        <f t="array" ref="AK34">INDEX(INDIRECT(INDEX($H$8,0) &amp; "!$C$6"),0)</f>
        <v>2</v>
      </c>
      <c r="AL34" s="26">
        <f t="shared" si="27"/>
        <v>12</v>
      </c>
    </row>
    <row r="35">
      <c r="A35" s="13" t="s">
        <v>42</v>
      </c>
      <c r="B35" s="17">
        <f t="shared" ref="B35:E35" si="31">IF(B9, 2*B9*B22/(B9+B22), "")</f>
        <v>0.2352941176</v>
      </c>
      <c r="C35" s="17">
        <f t="shared" si="31"/>
        <v>0.4087591241</v>
      </c>
      <c r="D35" s="21">
        <f t="shared" si="31"/>
        <v>0.4958677686</v>
      </c>
      <c r="E35" s="17">
        <f t="shared" si="31"/>
        <v>0.4931506849</v>
      </c>
      <c r="F35" s="5"/>
      <c r="G35" s="5"/>
      <c r="H35" s="5"/>
      <c r="I35" s="5"/>
      <c r="J35" s="5"/>
      <c r="K35" s="21"/>
      <c r="L35" s="17">
        <f t="array" ref="L35">INDEX(INDIRECT(INDEX($H$9,0) &amp; "!$D$14"),0)</f>
        <v>1</v>
      </c>
      <c r="M35" s="17">
        <f t="array" ref="M35">INDEX(INDIRECT(INDEX($H$9,0) &amp; "!$D$15"),0)</f>
        <v>0</v>
      </c>
      <c r="N35" s="17">
        <f t="array" ref="N35">INDEX(INDIRECT(INDEX($H$9,0) &amp; "!$D$16"),0)</f>
        <v>0.25</v>
      </c>
      <c r="O35" s="17">
        <f t="array" ref="O35">INDEX(INDIRECT(INDEX($H$9,0) &amp; "!$D$17"),0)</f>
        <v>0.1428571429</v>
      </c>
      <c r="P35" s="20">
        <f t="array" ref="P35">SUM(L35:O35*U35:X35)/Y35</f>
        <v>0.2666666667</v>
      </c>
      <c r="Q35" s="21">
        <f t="array" ref="Q35">SUM(L35:N35*U35:W35)/SUM(U35:W35)</f>
        <v>0.375</v>
      </c>
      <c r="R35" s="17">
        <f t="shared" si="25"/>
        <v>0.2727272727</v>
      </c>
      <c r="S35" s="21">
        <f t="array" ref="S35">SUM(L35:M35*U35:V35)/SUM(U35:V35)</f>
        <v>0.5</v>
      </c>
      <c r="T35" s="27"/>
      <c r="U35" s="23">
        <f t="array" ref="U35">INDEX(INDIRECT(INDEX($H$9,0) &amp; "!$C$14"),0)</f>
        <v>2</v>
      </c>
      <c r="V35" s="23">
        <f t="array" ref="V35">INDEX(INDIRECT(INDEX($H$9,0) &amp; "!$C$15"),0)</f>
        <v>2</v>
      </c>
      <c r="W35" s="23">
        <f t="array" ref="W35">INDEX(INDIRECT(INDEX($H$9,0) &amp; "!$C$16"),0)</f>
        <v>4</v>
      </c>
      <c r="X35" s="23">
        <f t="array" ref="X35">INDEX(INDIRECT(INDEX($H$9,0) &amp; "!$C$17"),0)</f>
        <v>7</v>
      </c>
      <c r="Y35" s="24">
        <f t="shared" si="26"/>
        <v>15</v>
      </c>
      <c r="Z35" s="21"/>
      <c r="AA35" s="17">
        <f t="array" ref="AA35">INDEX(INDIRECT(INDEX($H$9,0) &amp; "!$D$2"),0)</f>
        <v>0</v>
      </c>
      <c r="AB35" s="17">
        <f t="array" ref="AB35">INDEX(INDIRECT(INDEX($H$9,0) &amp; "!$D$3"),0)</f>
        <v>0.125</v>
      </c>
      <c r="AC35" s="17">
        <f t="array" ref="AC35">INDEX(INDIRECT(INDEX($H$9,0) &amp; "!$D$4"),0)</f>
        <v>0</v>
      </c>
      <c r="AD35" s="17">
        <f t="array" ref="AD35">INDEX(INDIRECT(INDEX($H$9,0) &amp; "!$D$5"),0)</f>
        <v>0.5</v>
      </c>
      <c r="AE35" s="17">
        <f t="array" ref="AE35">INDEX(INDIRECT(INDEX($H$9,0) &amp; "!$D$6"),0)</f>
        <v>0.375</v>
      </c>
      <c r="AG35" s="25">
        <f t="array" ref="AG35">INDEX(INDIRECT(INDEX($H$9,0) &amp; "!$C$2"),0)</f>
        <v>0</v>
      </c>
      <c r="AH35" s="25">
        <f t="array" ref="AH35">INDEX(INDIRECT(INDEX($H$9,0) &amp; "!$C$3"),0)</f>
        <v>1</v>
      </c>
      <c r="AI35" s="25">
        <f t="array" ref="AI35">INDEX(INDIRECT(INDEX($H$9,0) &amp; "!$C$4"),0)</f>
        <v>0</v>
      </c>
      <c r="AJ35" s="25">
        <f t="array" ref="AJ35">INDEX(INDIRECT(INDEX($H$9,0) &amp; "!$C$5"),0)</f>
        <v>4</v>
      </c>
      <c r="AK35" s="25">
        <f t="array" ref="AK35">INDEX(INDIRECT(INDEX($H$9,0) &amp; "!$C$6"),0)</f>
        <v>3</v>
      </c>
      <c r="AL35" s="26">
        <f t="shared" si="27"/>
        <v>8</v>
      </c>
    </row>
    <row r="36">
      <c r="A36" s="28" t="s">
        <v>47</v>
      </c>
      <c r="B36" s="29">
        <f t="shared" ref="B36:E36" si="32">AVERAGE(B$30:B35)</f>
        <v>0.196694405</v>
      </c>
      <c r="C36" s="29">
        <f t="shared" si="32"/>
        <v>0.3668426158</v>
      </c>
      <c r="D36" s="29">
        <f t="shared" si="32"/>
        <v>0.5069266</v>
      </c>
      <c r="E36" s="29">
        <f t="shared" si="32"/>
        <v>0.5504266922</v>
      </c>
      <c r="F36" s="33"/>
      <c r="G36" s="5"/>
      <c r="H36" s="5"/>
      <c r="I36" s="5"/>
      <c r="J36" s="5"/>
      <c r="K36" s="21"/>
      <c r="L36" s="29">
        <f t="shared" ref="L36:S36" si="33">AVERAGE(L30:L35)</f>
        <v>0.7777777778</v>
      </c>
      <c r="M36" s="31">
        <f t="shared" si="33"/>
        <v>0.07936507937</v>
      </c>
      <c r="N36" s="29">
        <f t="shared" si="33"/>
        <v>0.125</v>
      </c>
      <c r="O36" s="31">
        <f t="shared" si="33"/>
        <v>0.1751984127</v>
      </c>
      <c r="P36" s="32">
        <f t="shared" si="33"/>
        <v>0.2584785484</v>
      </c>
      <c r="Q36" s="29">
        <f t="shared" si="33"/>
        <v>0.321494709</v>
      </c>
      <c r="R36" s="31">
        <f t="shared" si="33"/>
        <v>0.3011354143</v>
      </c>
      <c r="S36" s="29">
        <f t="shared" si="33"/>
        <v>0.5111111111</v>
      </c>
      <c r="T36" s="27"/>
      <c r="U36" s="34">
        <f t="shared" ref="U36:X36" si="34">SUM(U30:U35)</f>
        <v>16</v>
      </c>
      <c r="V36" s="34">
        <f t="shared" si="34"/>
        <v>17</v>
      </c>
      <c r="W36" s="34">
        <f t="shared" si="34"/>
        <v>24</v>
      </c>
      <c r="X36" s="34">
        <f t="shared" si="34"/>
        <v>47</v>
      </c>
      <c r="Y36" s="35">
        <f t="shared" si="26"/>
        <v>104</v>
      </c>
      <c r="Z36" s="21"/>
      <c r="AA36" s="29">
        <f t="shared" ref="AA36:AE36" si="35">AVERAGE(AA30:AA35)</f>
        <v>0.1063492063</v>
      </c>
      <c r="AB36" s="31">
        <f t="shared" si="35"/>
        <v>0.104532967</v>
      </c>
      <c r="AC36" s="31">
        <f t="shared" si="35"/>
        <v>0.1105616606</v>
      </c>
      <c r="AD36" s="29">
        <f t="shared" si="35"/>
        <v>0.3416361416</v>
      </c>
      <c r="AE36" s="29">
        <f t="shared" si="35"/>
        <v>0.3369200244</v>
      </c>
      <c r="AG36" s="37">
        <f t="shared" ref="AG36:AK36" si="36">SUM(AG30:AG35)</f>
        <v>8</v>
      </c>
      <c r="AH36" s="37">
        <f t="shared" si="36"/>
        <v>8</v>
      </c>
      <c r="AI36" s="37">
        <f t="shared" si="36"/>
        <v>9</v>
      </c>
      <c r="AJ36" s="37">
        <f t="shared" si="36"/>
        <v>24</v>
      </c>
      <c r="AK36" s="37">
        <f t="shared" si="36"/>
        <v>25</v>
      </c>
      <c r="AL36" s="38">
        <f t="shared" si="27"/>
        <v>74</v>
      </c>
    </row>
    <row r="37">
      <c r="A37" s="11" t="s">
        <v>49</v>
      </c>
      <c r="B37" s="50"/>
      <c r="C37" s="50"/>
      <c r="D37" s="50"/>
      <c r="E37" s="50"/>
      <c r="F37" s="5"/>
      <c r="G37" s="5"/>
      <c r="H37" s="5"/>
      <c r="I37" s="5"/>
      <c r="J37" s="5"/>
      <c r="K37" s="21"/>
      <c r="L37" s="21">
        <f t="array" ref="L37">SUM(L30:L35*U30:U35)/U36</f>
        <v>0.75</v>
      </c>
      <c r="M37" s="21">
        <f t="array" ref="M37">SUM(M30:M35*V30:V35)/V36</f>
        <v>0.1176470588</v>
      </c>
      <c r="N37" s="21">
        <f t="array" ref="N37">SUM(N30:N35*W30:W35)/W36</f>
        <v>0.125</v>
      </c>
      <c r="O37" s="21">
        <f t="array" ref="O37">SUM(O30:O35*X30:X35)/X36</f>
        <v>0.1914893617</v>
      </c>
      <c r="P37" s="40">
        <f t="array" ref="P37">SUM(P30:P35*Y30:Y35)/Y36</f>
        <v>0.25</v>
      </c>
      <c r="Q37" s="17">
        <f t="array" ref="Q37">SUM(Q30:Q35*Y30:Y35-X30:X35)/SUM(U36:W36)</f>
        <v>0.298245614</v>
      </c>
      <c r="R37" s="41">
        <f t="array" ref="R37">SUM(R30:R35*Y30:Y35-W30:W35)/(SUM(U36:X36)-W36)</f>
        <v>0.2875</v>
      </c>
      <c r="S37" s="17">
        <f t="array" ref="S37">SUM(S30:S35*U30:U35+V30:V35)/SUM(U36:V36)</f>
        <v>0.4242424242</v>
      </c>
      <c r="T37" s="27"/>
      <c r="U37" s="27"/>
      <c r="V37" s="27"/>
      <c r="W37" s="27"/>
      <c r="X37" s="27"/>
      <c r="Z37" s="21"/>
      <c r="AA37" s="21">
        <f t="shared" ref="AA37:AE37" si="37">AG36/$AL36</f>
        <v>0.1081081081</v>
      </c>
      <c r="AB37" s="21">
        <f t="shared" si="37"/>
        <v>0.1081081081</v>
      </c>
      <c r="AC37" s="21">
        <f t="shared" si="37"/>
        <v>0.1216216216</v>
      </c>
      <c r="AD37" s="21">
        <f t="shared" si="37"/>
        <v>0.3243243243</v>
      </c>
      <c r="AE37" s="21">
        <f t="shared" si="37"/>
        <v>0.3378378378</v>
      </c>
      <c r="AF37" s="36">
        <f>SUM(AA37:AE37)</f>
        <v>1</v>
      </c>
    </row>
    <row r="38">
      <c r="A38" s="11" t="s">
        <v>50</v>
      </c>
      <c r="B38" s="17">
        <f t="shared" ref="B38:D38" si="38">B36-$E36</f>
        <v>-0.3537322871</v>
      </c>
      <c r="C38" s="17">
        <f t="shared" si="38"/>
        <v>-0.1835840763</v>
      </c>
      <c r="D38" s="17">
        <f t="shared" si="38"/>
        <v>-0.04350009217</v>
      </c>
      <c r="E38" s="42"/>
      <c r="F38" s="5"/>
      <c r="G38" s="5"/>
      <c r="H38" s="5"/>
      <c r="I38" s="5"/>
      <c r="J38" s="5"/>
      <c r="K38" s="21"/>
      <c r="L38" s="21"/>
      <c r="M38" s="21"/>
      <c r="N38" s="21"/>
      <c r="Z38" s="21"/>
      <c r="AA38" s="21"/>
      <c r="AB38" s="21"/>
      <c r="AC38" s="21"/>
      <c r="AD38" s="21"/>
      <c r="AE38" s="21"/>
    </row>
    <row r="39">
      <c r="A39" s="13" t="s">
        <v>52</v>
      </c>
      <c r="B39" s="45">
        <f t="shared" ref="B39:D39" si="39">TTEST(B30:B35, $E30:$E35, 1, 1)</f>
        <v>0.00164321782</v>
      </c>
      <c r="C39" s="45">
        <f t="shared" si="39"/>
        <v>0.001732430993</v>
      </c>
      <c r="D39" s="45">
        <f t="shared" si="39"/>
        <v>0.02754237429</v>
      </c>
      <c r="E39" s="42"/>
      <c r="F39" s="5"/>
      <c r="G39" s="5"/>
      <c r="H39" s="5"/>
      <c r="I39" s="5"/>
      <c r="J39" s="5"/>
    </row>
    <row r="40">
      <c r="A40" s="11"/>
      <c r="B40" s="45"/>
      <c r="C40" s="45"/>
      <c r="D40" s="45"/>
      <c r="E40" s="45"/>
      <c r="F40" s="5"/>
      <c r="G40" s="5"/>
      <c r="H40" s="5"/>
      <c r="I40" s="5"/>
      <c r="J40" s="5"/>
      <c r="L40" s="45"/>
      <c r="M40" s="45"/>
      <c r="N40" s="45"/>
      <c r="O40" s="45"/>
    </row>
    <row r="41">
      <c r="A41" s="13"/>
      <c r="B41" s="5"/>
      <c r="C41" s="5"/>
      <c r="D41" s="5"/>
      <c r="E41" s="5"/>
      <c r="F41" s="5"/>
      <c r="G41" s="5"/>
      <c r="H41" s="5"/>
      <c r="I41" s="5"/>
      <c r="J41" s="5"/>
    </row>
    <row r="42">
      <c r="A42" s="13"/>
      <c r="B42" s="8" t="s">
        <v>57</v>
      </c>
      <c r="G42" s="8" t="s">
        <v>58</v>
      </c>
      <c r="L42" s="49">
        <v>10000.0</v>
      </c>
      <c r="U42" s="49">
        <v>10000.0</v>
      </c>
      <c r="AA42" s="49">
        <v>10000.0</v>
      </c>
      <c r="AG42" s="49">
        <v>10000.0</v>
      </c>
    </row>
    <row r="43">
      <c r="A43" s="1" t="s">
        <v>17</v>
      </c>
      <c r="B43" s="52">
        <f t="array" ref="B43:B48">INDEX(AL43:AL48,0)</f>
        <v>3</v>
      </c>
      <c r="C43" s="5">
        <f t="array" ref="C43:C48">INDEX(AL30:AL35,0)</f>
        <v>14</v>
      </c>
      <c r="D43" s="5">
        <f t="array" ref="D43:D48">INDEX(AL17:AL22,0)</f>
        <v>24</v>
      </c>
      <c r="E43" s="5">
        <f t="array" ref="E43:E48">INDEX(AL4:AL9,0)</f>
        <v>29</v>
      </c>
      <c r="G43" s="53">
        <f t="shared" ref="G43:J43" si="40">B43*B4</f>
        <v>3</v>
      </c>
      <c r="H43" s="53">
        <f t="shared" si="40"/>
        <v>10</v>
      </c>
      <c r="I43" s="53">
        <f t="shared" si="40"/>
        <v>16</v>
      </c>
      <c r="J43" s="53">
        <f t="shared" si="40"/>
        <v>19</v>
      </c>
      <c r="L43" s="17">
        <f t="array" ref="L43">INDEX(INDIRECT(INDEX($G$4,0) &amp; "!$D$14"),0)</f>
        <v>0.3333333333</v>
      </c>
      <c r="M43" s="17">
        <f t="array" ref="M43">INDEX(INDIRECT(INDEX($G$4,0) &amp; "!$D$15"),0)</f>
        <v>0</v>
      </c>
      <c r="N43" s="17">
        <f t="array" ref="N43">INDEX(INDIRECT(INDEX($G$4,0) &amp; "!$D$16"),0)</f>
        <v>0</v>
      </c>
      <c r="O43" s="17">
        <f t="array" ref="O43">INDEX(INDIRECT(INDEX($G$4,0) &amp; "!$D$17"),0)</f>
        <v>0</v>
      </c>
      <c r="P43" s="20">
        <f t="array" ref="P43">SUM(L43:O43*U43:X43)/Y43</f>
        <v>0.07142857143</v>
      </c>
      <c r="Q43" s="21">
        <f t="array" ref="Q43">SUM(L43:N43*U43:W43)/SUM(U43:W43)</f>
        <v>0.1</v>
      </c>
      <c r="R43" s="17">
        <f t="shared" ref="R43:R48" si="42">(L43*U43+M43*V43+O43*X43)/(U43+V43+X43)</f>
        <v>0.1</v>
      </c>
      <c r="S43" s="21">
        <f t="array" ref="S43">SUM(L43:M43*U43:V43)/SUM(U43:V43)</f>
        <v>0.1666666667</v>
      </c>
      <c r="U43" s="23">
        <f t="array" ref="U43">INDEX(INDIRECT(INDEX($G$4,0) &amp; "!$C$14"),0)</f>
        <v>3</v>
      </c>
      <c r="V43" s="23">
        <f t="array" ref="V43">INDEX(INDIRECT(INDEX($G$4,0) &amp; "!$C$15"),0)</f>
        <v>3</v>
      </c>
      <c r="W43" s="23">
        <f t="array" ref="W43">INDEX(INDIRECT(INDEX($G$4,0) &amp; "!$C$16"),0)</f>
        <v>4</v>
      </c>
      <c r="X43" s="23">
        <f t="array" ref="X43">INDEX(INDIRECT(INDEX($G$4,0) &amp; "!$C$17"),0)</f>
        <v>4</v>
      </c>
      <c r="Y43" s="24">
        <f t="shared" ref="Y43:Y49" si="43">SUM(U43:X43)</f>
        <v>14</v>
      </c>
      <c r="AA43" s="17">
        <f t="array" ref="AA43">INDEX(INDIRECT(INDEX($G$4,0) &amp; "!$D$2"),0)</f>
        <v>0</v>
      </c>
      <c r="AB43" s="17">
        <f t="array" ref="AB43">INDEX(INDIRECT(INDEX($G$4,0) &amp; "!$D$3"),0)</f>
        <v>0</v>
      </c>
      <c r="AC43" s="17">
        <f t="array" ref="AC43">INDEX(INDIRECT(INDEX($G$4,0) &amp; "!$D$4"),0)</f>
        <v>0</v>
      </c>
      <c r="AD43" s="17">
        <f t="array" ref="AD43">INDEX(INDIRECT(INDEX($G$4,0) &amp; "!$D$5"),0)</f>
        <v>0.3333333333</v>
      </c>
      <c r="AE43" s="17">
        <f t="array" ref="AE43">INDEX(INDIRECT(INDEX($G$4,0) &amp; "!$D$6"),0)</f>
        <v>0.6666666667</v>
      </c>
      <c r="AG43" s="25">
        <f t="array" ref="AG43">INDEX(INDIRECT(INDEX($G$4,0) &amp; "!$C$2"),0)</f>
        <v>0</v>
      </c>
      <c r="AH43" s="25">
        <f t="array" ref="AH43">INDEX(INDIRECT(INDEX($G$4,0) &amp; "!$C$3"),0)</f>
        <v>0</v>
      </c>
      <c r="AI43" s="25">
        <f t="array" ref="AI43">INDEX(INDIRECT(INDEX($G$4,0) &amp; "!$C$4"),0)</f>
        <v>0</v>
      </c>
      <c r="AJ43" s="25">
        <f t="array" ref="AJ43">INDEX(INDIRECT(INDEX($G$4,0) &amp; "!$C$5"),0)</f>
        <v>1</v>
      </c>
      <c r="AK43" s="25">
        <f t="array" ref="AK43">INDEX(INDIRECT(INDEX($G$4,0) &amp; "!$C$6"),0)</f>
        <v>2</v>
      </c>
      <c r="AL43" s="26">
        <f t="shared" ref="AL43:AL49" si="44">SUM(AG43:AK43)</f>
        <v>3</v>
      </c>
    </row>
    <row r="44">
      <c r="A44" s="1" t="s">
        <v>22</v>
      </c>
      <c r="B44" s="5">
        <v>4.0</v>
      </c>
      <c r="C44" s="5">
        <v>15.0</v>
      </c>
      <c r="D44" s="5">
        <v>23.0</v>
      </c>
      <c r="E44" s="5">
        <v>39.0</v>
      </c>
      <c r="G44" s="53">
        <f t="shared" ref="G44:J44" si="41">B44*B5</f>
        <v>4</v>
      </c>
      <c r="H44" s="53">
        <f t="shared" si="41"/>
        <v>8</v>
      </c>
      <c r="I44" s="53">
        <f t="shared" si="41"/>
        <v>13</v>
      </c>
      <c r="J44" s="53">
        <f t="shared" si="41"/>
        <v>20</v>
      </c>
      <c r="L44" s="17">
        <f t="array" ref="L44">INDEX(INDIRECT(INDEX($G$5,0) &amp; "!$D$14"),0)</f>
        <v>1</v>
      </c>
      <c r="M44" s="17">
        <f t="array" ref="M44">INDEX(INDIRECT(INDEX($G$5,0) &amp; "!$D$15"),0)</f>
        <v>0</v>
      </c>
      <c r="N44" s="17">
        <f t="array" ref="N44">INDEX(INDIRECT(INDEX($G$5,0) &amp; "!$D$16"),0)</f>
        <v>0.25</v>
      </c>
      <c r="O44" s="17">
        <f t="array" ref="O44">INDEX(INDIRECT(INDEX($G$5,0) &amp; "!$D$17"),0)</f>
        <v>0.1111111111</v>
      </c>
      <c r="P44" s="20">
        <f t="array" ref="P44">SUM(L44:O44*U44:X44)/Y44</f>
        <v>0.2777777778</v>
      </c>
      <c r="Q44" s="21">
        <f t="array" ref="Q44">SUM(L44:N44*U44:W44)/SUM(U44:W44)</f>
        <v>0.4444444444</v>
      </c>
      <c r="R44" s="17">
        <f t="shared" si="42"/>
        <v>0.2857142857</v>
      </c>
      <c r="S44" s="21">
        <f t="array" ref="S44">SUM(L44:M44*U44:V44)/SUM(U44:V44)</f>
        <v>0.6</v>
      </c>
      <c r="U44" s="23">
        <f t="array" ref="U44">INDEX(INDIRECT(INDEX($G$5,0) &amp; "!$C$14"),0)</f>
        <v>3</v>
      </c>
      <c r="V44" s="23">
        <f t="array" ref="V44">INDEX(INDIRECT(INDEX($G$5,0) &amp; "!$C$15"),0)</f>
        <v>2</v>
      </c>
      <c r="W44" s="23">
        <f t="array" ref="W44">INDEX(INDIRECT(INDEX($G$5,0) &amp; "!$C$16"),0)</f>
        <v>4</v>
      </c>
      <c r="X44" s="23">
        <f t="array" ref="X44">INDEX(INDIRECT(INDEX($G$5,0) &amp; "!$C$17"),0)</f>
        <v>9</v>
      </c>
      <c r="Y44" s="24">
        <f t="shared" si="43"/>
        <v>18</v>
      </c>
      <c r="AA44" s="17">
        <f t="array" ref="AA44">INDEX(INDIRECT(INDEX($G$5,0) &amp; "!$D$2"),0)</f>
        <v>0</v>
      </c>
      <c r="AB44" s="17">
        <f t="array" ref="AB44">INDEX(INDIRECT(INDEX($G$5,0) &amp; "!$D$3"),0)</f>
        <v>0</v>
      </c>
      <c r="AC44" s="17">
        <f t="array" ref="AC44">INDEX(INDIRECT(INDEX($G$5,0) &amp; "!$D$4"),0)</f>
        <v>0</v>
      </c>
      <c r="AD44" s="17">
        <f t="array" ref="AD44">INDEX(INDIRECT(INDEX($G$5,0) &amp; "!$D$5"),0)</f>
        <v>1</v>
      </c>
      <c r="AE44" s="17">
        <f t="array" ref="AE44">INDEX(INDIRECT(INDEX($G$5,0) &amp; "!$D$6"),0)</f>
        <v>0</v>
      </c>
      <c r="AG44" s="25">
        <f t="array" ref="AG44">INDEX(INDIRECT(INDEX($G$5,0) &amp; "!$C$2"),0)</f>
        <v>0</v>
      </c>
      <c r="AH44" s="25">
        <f t="array" ref="AH44">INDEX(INDIRECT(INDEX($G$5,0) &amp; "!$C$3"),0)</f>
        <v>0</v>
      </c>
      <c r="AI44" s="25">
        <f t="array" ref="AI44">INDEX(INDIRECT(INDEX($G$5,0) &amp; "!$C$4"),0)</f>
        <v>0</v>
      </c>
      <c r="AJ44" s="25">
        <f t="array" ref="AJ44">INDEX(INDIRECT(INDEX($G$5,0) &amp; "!$C$5"),0)</f>
        <v>4</v>
      </c>
      <c r="AK44" s="25">
        <f t="array" ref="AK44">INDEX(INDIRECT(INDEX($G$5,0) &amp; "!$C$6"),0)</f>
        <v>0</v>
      </c>
      <c r="AL44" s="26">
        <f t="shared" si="44"/>
        <v>4</v>
      </c>
    </row>
    <row r="45">
      <c r="A45" s="1" t="s">
        <v>27</v>
      </c>
      <c r="B45" s="5">
        <v>2.0</v>
      </c>
      <c r="C45" s="5">
        <v>12.0</v>
      </c>
      <c r="D45" s="5">
        <v>26.0</v>
      </c>
      <c r="E45" s="5">
        <v>35.0</v>
      </c>
      <c r="G45" s="53">
        <f t="shared" ref="G45:J45" si="45">B45*B6</f>
        <v>2</v>
      </c>
      <c r="H45" s="53">
        <f t="shared" si="45"/>
        <v>10</v>
      </c>
      <c r="I45" s="53">
        <f t="shared" si="45"/>
        <v>18</v>
      </c>
      <c r="J45" s="53">
        <f t="shared" si="45"/>
        <v>22</v>
      </c>
      <c r="L45" s="17">
        <f t="array" ref="L45">INDEX(INDIRECT(INDEX($G$6,0) &amp; "!$D$14"),0)</f>
        <v>0.3333333333</v>
      </c>
      <c r="M45" s="17">
        <f t="array" ref="M45">INDEX(INDIRECT(INDEX($G$6,0) &amp; "!$D$15"),0)</f>
        <v>0</v>
      </c>
      <c r="N45" s="17">
        <f t="array" ref="N45">INDEX(INDIRECT(INDEX($G$6,0) &amp; "!$D$16"),0)</f>
        <v>0</v>
      </c>
      <c r="O45" s="17">
        <f t="array" ref="O45">INDEX(INDIRECT(INDEX($G$6,0) &amp; "!$D$17"),0)</f>
        <v>0</v>
      </c>
      <c r="P45" s="20">
        <f t="array" ref="P45">SUM(L45:O45*U45:X45)/Y45</f>
        <v>0.05555555556</v>
      </c>
      <c r="Q45" s="21">
        <f t="array" ref="Q45">SUM(L45:N45*U45:W45)/SUM(U45:W45)</f>
        <v>0.1</v>
      </c>
      <c r="R45" s="17">
        <f t="shared" si="42"/>
        <v>0.07142857143</v>
      </c>
      <c r="S45" s="21">
        <f t="array" ref="S45">SUM(L45:M45*U45:V45)/SUM(U45:V45)</f>
        <v>0.1666666667</v>
      </c>
      <c r="U45" s="23">
        <f t="array" ref="U45">INDEX(INDIRECT(INDEX($G$6,0) &amp; "!$C$14"),0)</f>
        <v>3</v>
      </c>
      <c r="V45" s="23">
        <f t="array" ref="V45">INDEX(INDIRECT(INDEX($G$6,0) &amp; "!$C$15"),0)</f>
        <v>3</v>
      </c>
      <c r="W45" s="23">
        <f t="array" ref="W45">INDEX(INDIRECT(INDEX($G$6,0) &amp; "!$C$16"),0)</f>
        <v>4</v>
      </c>
      <c r="X45" s="23">
        <f t="array" ref="X45">INDEX(INDIRECT(INDEX($G$6,0) &amp; "!$C$17"),0)</f>
        <v>8</v>
      </c>
      <c r="Y45" s="24">
        <f t="shared" si="43"/>
        <v>18</v>
      </c>
      <c r="AA45" s="17">
        <f t="array" ref="AA45">INDEX(INDIRECT(INDEX($G$6,0) &amp; "!$D$2"),0)</f>
        <v>0</v>
      </c>
      <c r="AB45" s="17">
        <f t="array" ref="AB45">INDEX(INDIRECT(INDEX($G$6,0) &amp; "!$D$3"),0)</f>
        <v>0</v>
      </c>
      <c r="AC45" s="17">
        <f t="array" ref="AC45">INDEX(INDIRECT(INDEX($G$6,0) &amp; "!$D$4"),0)</f>
        <v>0</v>
      </c>
      <c r="AD45" s="17">
        <f t="array" ref="AD45">INDEX(INDIRECT(INDEX($G$6,0) &amp; "!$D$5"),0)</f>
        <v>0.5</v>
      </c>
      <c r="AE45" s="17">
        <f t="array" ref="AE45">INDEX(INDIRECT(INDEX($G$6,0) &amp; "!$D$6"),0)</f>
        <v>0.5</v>
      </c>
      <c r="AG45" s="25">
        <f t="array" ref="AG45">INDEX(INDIRECT(INDEX($G$6,0) &amp; "!$C$2"),0)</f>
        <v>0</v>
      </c>
      <c r="AH45" s="25">
        <f t="array" ref="AH45">INDEX(INDIRECT(INDEX($G$6,0) &amp; "!$C$3"),0)</f>
        <v>0</v>
      </c>
      <c r="AI45" s="25">
        <f t="array" ref="AI45">INDEX(INDIRECT(INDEX($G$6,0) &amp; "!$C$4"),0)</f>
        <v>0</v>
      </c>
      <c r="AJ45" s="25">
        <f t="array" ref="AJ45">INDEX(INDIRECT(INDEX($G$6,0) &amp; "!$C$5"),0)</f>
        <v>1</v>
      </c>
      <c r="AK45" s="25">
        <f t="array" ref="AK45">INDEX(INDIRECT(INDEX($G$6,0) &amp; "!$C$6"),0)</f>
        <v>1</v>
      </c>
      <c r="AL45" s="26">
        <f t="shared" si="44"/>
        <v>2</v>
      </c>
    </row>
    <row r="46">
      <c r="A46" s="1" t="s">
        <v>32</v>
      </c>
      <c r="B46" s="5">
        <v>3.0</v>
      </c>
      <c r="C46" s="5">
        <v>13.0</v>
      </c>
      <c r="D46" s="5">
        <v>30.0</v>
      </c>
      <c r="E46" s="5">
        <v>49.0</v>
      </c>
      <c r="G46" s="53">
        <f t="shared" ref="G46:J46" si="46">B46*B7</f>
        <v>2</v>
      </c>
      <c r="H46" s="53">
        <f t="shared" si="46"/>
        <v>8</v>
      </c>
      <c r="I46" s="53">
        <f t="shared" si="46"/>
        <v>16</v>
      </c>
      <c r="J46" s="53">
        <f t="shared" si="46"/>
        <v>29</v>
      </c>
      <c r="L46" s="17">
        <f t="array" ref="L46">INDEX(INDIRECT(INDEX($G$7,0) &amp; "!$D$14"),0)</f>
        <v>0.6666666667</v>
      </c>
      <c r="M46" s="17">
        <f t="array" ref="M46">INDEX(INDIRECT(INDEX($G$7,0) &amp; "!$D$15"),0)</f>
        <v>0</v>
      </c>
      <c r="N46" s="17">
        <f t="array" ref="N46">INDEX(INDIRECT(INDEX($G$7,0) &amp; "!$D$16"),0)</f>
        <v>0</v>
      </c>
      <c r="O46" s="17">
        <f t="array" ref="O46">INDEX(INDIRECT(INDEX($G$7,0) &amp; "!$D$17"),0)</f>
        <v>0</v>
      </c>
      <c r="P46" s="20">
        <f t="array" ref="P46">SUM(L46:O46*U46:X46)/Y46</f>
        <v>0.08695652174</v>
      </c>
      <c r="Q46" s="21">
        <f t="array" ref="Q46">SUM(L46:N46*U46:W46)/SUM(U46:W46)</f>
        <v>0.1428571429</v>
      </c>
      <c r="R46" s="17">
        <f t="shared" si="42"/>
        <v>0.1052631579</v>
      </c>
      <c r="S46" s="21">
        <f t="array" ref="S46">SUM(L46:M46*U46:V46)/SUM(U46:V46)</f>
        <v>0.2</v>
      </c>
      <c r="U46" s="23">
        <f t="array" ref="U46">INDEX(INDIRECT(INDEX($G$7,0) &amp; "!$C$14"),0)</f>
        <v>3</v>
      </c>
      <c r="V46" s="23">
        <f t="array" ref="V46">INDEX(INDIRECT(INDEX($G$7,0) &amp; "!$C$15"),0)</f>
        <v>7</v>
      </c>
      <c r="W46" s="23">
        <f t="array" ref="W46">INDEX(INDIRECT(INDEX($G$7,0) &amp; "!$C$16"),0)</f>
        <v>4</v>
      </c>
      <c r="X46" s="23">
        <f t="array" ref="X46">INDEX(INDIRECT(INDEX($G$7,0) &amp; "!$C$17"),0)</f>
        <v>9</v>
      </c>
      <c r="Y46" s="24">
        <f t="shared" si="43"/>
        <v>23</v>
      </c>
      <c r="AA46" s="17">
        <f t="array" ref="AA46">INDEX(INDIRECT(INDEX($G$7,0) &amp; "!$D$2"),0)</f>
        <v>0</v>
      </c>
      <c r="AB46" s="17">
        <f t="array" ref="AB46">INDEX(INDIRECT(INDEX($G$7,0) &amp; "!$D$3"),0)</f>
        <v>0.3333333333</v>
      </c>
      <c r="AC46" s="17">
        <f t="array" ref="AC46">INDEX(INDIRECT(INDEX($G$7,0) &amp; "!$D$4"),0)</f>
        <v>0</v>
      </c>
      <c r="AD46" s="17">
        <f t="array" ref="AD46">INDEX(INDIRECT(INDEX($G$7,0) &amp; "!$D$5"),0)</f>
        <v>0.6666666667</v>
      </c>
      <c r="AE46" s="17">
        <f t="array" ref="AE46">INDEX(INDIRECT(INDEX($G$7,0) &amp; "!$D$6"),0)</f>
        <v>0</v>
      </c>
      <c r="AG46" s="25">
        <f t="array" ref="AG46">INDEX(INDIRECT(INDEX($G$7,0) &amp; "!$C$2"),0)</f>
        <v>0</v>
      </c>
      <c r="AH46" s="25">
        <f t="array" ref="AH46">INDEX(INDIRECT(INDEX($G$7,0) &amp; "!$C$3"),0)</f>
        <v>1</v>
      </c>
      <c r="AI46" s="25">
        <f t="array" ref="AI46">INDEX(INDIRECT(INDEX($G$7,0) &amp; "!$C$4"),0)</f>
        <v>0</v>
      </c>
      <c r="AJ46" s="25">
        <f t="array" ref="AJ46">INDEX(INDIRECT(INDEX($G$7,0) &amp; "!$C$5"),0)</f>
        <v>2</v>
      </c>
      <c r="AK46" s="25">
        <f t="array" ref="AK46">INDEX(INDIRECT(INDEX($G$7,0) &amp; "!$C$6"),0)</f>
        <v>0</v>
      </c>
      <c r="AL46" s="26">
        <f t="shared" si="44"/>
        <v>3</v>
      </c>
    </row>
    <row r="47">
      <c r="A47" s="13" t="s">
        <v>37</v>
      </c>
      <c r="B47" s="5">
        <v>2.0</v>
      </c>
      <c r="C47" s="5">
        <v>12.0</v>
      </c>
      <c r="D47" s="5">
        <v>21.0</v>
      </c>
      <c r="E47" s="5">
        <v>32.0</v>
      </c>
      <c r="G47" s="53">
        <f t="shared" ref="G47:J47" si="47">B47*B8</f>
        <v>2</v>
      </c>
      <c r="H47" s="53">
        <f t="shared" si="47"/>
        <v>6</v>
      </c>
      <c r="I47" s="53">
        <f t="shared" si="47"/>
        <v>11</v>
      </c>
      <c r="J47" s="53">
        <f t="shared" si="47"/>
        <v>14</v>
      </c>
      <c r="L47" s="17">
        <f t="array" ref="L47">INDEX(INDIRECT(INDEX($G$8,0) &amp; "!$D$14"),0)</f>
        <v>0.5</v>
      </c>
      <c r="M47" s="17">
        <f t="array" ref="M47">INDEX(INDIRECT(INDEX($G$8,0) &amp; "!$D$15"),0)</f>
        <v>0</v>
      </c>
      <c r="N47" s="17">
        <f t="array" ref="N47">INDEX(INDIRECT(INDEX($G$8,0) &amp; "!$D$16"),0)</f>
        <v>0</v>
      </c>
      <c r="O47" s="17">
        <f t="array" ref="O47">INDEX(INDIRECT(INDEX($G$8,0) &amp; "!$D$17"),0)</f>
        <v>0</v>
      </c>
      <c r="P47" s="20">
        <f t="array" ref="P47">SUM(L47:O47*U47:X47)/Y47</f>
        <v>0.0625</v>
      </c>
      <c r="Q47" s="21">
        <f t="array" ref="Q47">SUM(L47:N47*U47:W47)/SUM(U47:W47)</f>
        <v>0.1666666667</v>
      </c>
      <c r="R47" s="17">
        <f t="shared" si="42"/>
        <v>0.08333333333</v>
      </c>
      <c r="S47" s="21">
        <f t="array" ref="S47">SUM(L47:M47*U47:V47)/SUM(U47:V47)</f>
        <v>0.5</v>
      </c>
      <c r="U47" s="23">
        <f t="array" ref="U47">INDEX(INDIRECT(INDEX($G$8,0) &amp; "!$C$14"),0)</f>
        <v>2</v>
      </c>
      <c r="V47" s="23">
        <f t="array" ref="V47">INDEX(INDIRECT(INDEX($G$8,0) &amp; "!$C$15"),0)</f>
        <v>0</v>
      </c>
      <c r="W47" s="23">
        <f t="array" ref="W47">INDEX(INDIRECT(INDEX($G$8,0) &amp; "!$C$16"),0)</f>
        <v>4</v>
      </c>
      <c r="X47" s="23">
        <f t="array" ref="X47">INDEX(INDIRECT(INDEX($G$8,0) &amp; "!$C$17"),0)</f>
        <v>10</v>
      </c>
      <c r="Y47" s="24">
        <f t="shared" si="43"/>
        <v>16</v>
      </c>
      <c r="AA47" s="17">
        <f t="array" ref="AA47">INDEX(INDIRECT(INDEX($G$8,0) &amp; "!$D$2"),0)</f>
        <v>0</v>
      </c>
      <c r="AB47" s="17">
        <f t="array" ref="AB47">INDEX(INDIRECT(INDEX($G$8,0) &amp; "!$D$3"),0)</f>
        <v>0</v>
      </c>
      <c r="AC47" s="17">
        <f t="array" ref="AC47">INDEX(INDIRECT(INDEX($G$8,0) &amp; "!$D$4"),0)</f>
        <v>0</v>
      </c>
      <c r="AD47" s="17">
        <f t="array" ref="AD47">INDEX(INDIRECT(INDEX($G$8,0) &amp; "!$D$5"),0)</f>
        <v>0.5</v>
      </c>
      <c r="AE47" s="17">
        <f t="array" ref="AE47">INDEX(INDIRECT(INDEX($G$8,0) &amp; "!$D$6"),0)</f>
        <v>0.5</v>
      </c>
      <c r="AG47" s="25">
        <f t="array" ref="AG47">INDEX(INDIRECT(INDEX($G$8,0) &amp; "!$C$2"),0)</f>
        <v>0</v>
      </c>
      <c r="AH47" s="25">
        <f t="array" ref="AH47">INDEX(INDIRECT(INDEX($G$8,0) &amp; "!$C$3"),0)</f>
        <v>0</v>
      </c>
      <c r="AI47" s="25">
        <f t="array" ref="AI47">INDEX(INDIRECT(INDEX($G$8,0) &amp; "!$C$4"),0)</f>
        <v>0</v>
      </c>
      <c r="AJ47" s="25">
        <f t="array" ref="AJ47">INDEX(INDIRECT(INDEX($G$8,0) &amp; "!$C$5"),0)</f>
        <v>1</v>
      </c>
      <c r="AK47" s="25">
        <f t="array" ref="AK47">INDEX(INDIRECT(INDEX($G$8,0) &amp; "!$C$6"),0)</f>
        <v>1</v>
      </c>
      <c r="AL47" s="26">
        <f t="shared" si="44"/>
        <v>2</v>
      </c>
    </row>
    <row r="48">
      <c r="A48" s="13" t="s">
        <v>42</v>
      </c>
      <c r="B48" s="5">
        <v>2.0</v>
      </c>
      <c r="C48" s="5">
        <v>8.0</v>
      </c>
      <c r="D48" s="5">
        <v>23.0</v>
      </c>
      <c r="E48" s="5">
        <v>43.0</v>
      </c>
      <c r="G48" s="53">
        <f t="shared" ref="G48:J48" si="48">B48*B9</f>
        <v>2</v>
      </c>
      <c r="H48" s="53">
        <f t="shared" si="48"/>
        <v>7</v>
      </c>
      <c r="I48" s="53">
        <f t="shared" si="48"/>
        <v>15</v>
      </c>
      <c r="J48" s="53">
        <f t="shared" si="48"/>
        <v>18</v>
      </c>
      <c r="L48" s="17">
        <f t="array" ref="L48">INDEX(INDIRECT(INDEX($G$9,0) &amp; "!$D$14"),0)</f>
        <v>1</v>
      </c>
      <c r="M48" s="17">
        <f t="array" ref="M48">INDEX(INDIRECT(INDEX($G$9,0) &amp; "!$D$15"),0)</f>
        <v>0</v>
      </c>
      <c r="N48" s="17">
        <f t="array" ref="N48">INDEX(INDIRECT(INDEX($G$9,0) &amp; "!$D$16"),0)</f>
        <v>0</v>
      </c>
      <c r="O48" s="17">
        <f t="array" ref="O48">INDEX(INDIRECT(INDEX($G$9,0) &amp; "!$D$17"),0)</f>
        <v>0</v>
      </c>
      <c r="P48" s="20">
        <f t="array" ref="P48">SUM(L48:O48*U48:X48)/Y48</f>
        <v>0.1333333333</v>
      </c>
      <c r="Q48" s="21">
        <f t="array" ref="Q48">SUM(L48:N48*U48:W48)/SUM(U48:W48)</f>
        <v>0.25</v>
      </c>
      <c r="R48" s="17">
        <f t="shared" si="42"/>
        <v>0.1818181818</v>
      </c>
      <c r="S48" s="21">
        <f t="array" ref="S48">SUM(L48:M48*U48:V48)/SUM(U48:V48)</f>
        <v>0.5</v>
      </c>
      <c r="U48" s="23">
        <f t="array" ref="U48">INDEX(INDIRECT(INDEX($G$9,0) &amp; "!$C$14"),0)</f>
        <v>2</v>
      </c>
      <c r="V48" s="23">
        <f t="array" ref="V48">INDEX(INDIRECT(INDEX($G$9,0) &amp; "!$C$15"),0)</f>
        <v>2</v>
      </c>
      <c r="W48" s="23">
        <f t="array" ref="W48">INDEX(INDIRECT(INDEX($G$9,0) &amp; "!$C$16"),0)</f>
        <v>4</v>
      </c>
      <c r="X48" s="23">
        <f t="array" ref="X48">INDEX(INDIRECT(INDEX($G$9,0) &amp; "!$C$17"),0)</f>
        <v>7</v>
      </c>
      <c r="Y48" s="24">
        <f t="shared" si="43"/>
        <v>15</v>
      </c>
      <c r="AA48" s="17">
        <f t="array" ref="AA48">INDEX(INDIRECT(INDEX($G$9,0) &amp; "!$D$2"),0)</f>
        <v>0</v>
      </c>
      <c r="AB48" s="17">
        <f t="array" ref="AB48">INDEX(INDIRECT(INDEX($G$9,0) &amp; "!$D$3"),0)</f>
        <v>0</v>
      </c>
      <c r="AC48" s="17">
        <f t="array" ref="AC48">INDEX(INDIRECT(INDEX($G$9,0) &amp; "!$D$4"),0)</f>
        <v>0</v>
      </c>
      <c r="AD48" s="17">
        <f t="array" ref="AD48">INDEX(INDIRECT(INDEX($G$9,0) &amp; "!$D$5"),0)</f>
        <v>1</v>
      </c>
      <c r="AE48" s="17">
        <f t="array" ref="AE48">INDEX(INDIRECT(INDEX($G$9,0) &amp; "!$D$6"),0)</f>
        <v>0</v>
      </c>
      <c r="AG48" s="25">
        <f t="array" ref="AG48">INDEX(INDIRECT(INDEX($G$9,0) &amp; "!$C$2"),0)</f>
        <v>0</v>
      </c>
      <c r="AH48" s="25">
        <f t="array" ref="AH48">INDEX(INDIRECT(INDEX($G$9,0) &amp; "!$C$3"),0)</f>
        <v>0</v>
      </c>
      <c r="AI48" s="25">
        <f t="array" ref="AI48">INDEX(INDIRECT(INDEX($G$9,0) &amp; "!$C$4"),0)</f>
        <v>0</v>
      </c>
      <c r="AJ48" s="25">
        <f t="array" ref="AJ48">INDEX(INDIRECT(INDEX($G$9,0) &amp; "!$C$5"),0)</f>
        <v>2</v>
      </c>
      <c r="AK48" s="25">
        <f t="array" ref="AK48">INDEX(INDIRECT(INDEX($G$9,0) &amp; "!$C$6"),0)</f>
        <v>0</v>
      </c>
      <c r="AL48" s="26">
        <f t="shared" si="44"/>
        <v>2</v>
      </c>
    </row>
    <row r="49">
      <c r="A49" s="28" t="s">
        <v>47</v>
      </c>
      <c r="B49" s="54">
        <f t="shared" ref="B49:E49" si="49">AVERAGE(B$43:B48)</f>
        <v>2.666666667</v>
      </c>
      <c r="C49" s="54">
        <f t="shared" si="49"/>
        <v>12.33333333</v>
      </c>
      <c r="D49" s="54">
        <f t="shared" si="49"/>
        <v>24.5</v>
      </c>
      <c r="E49" s="54">
        <f t="shared" si="49"/>
        <v>37.83333333</v>
      </c>
      <c r="G49" s="54">
        <f t="shared" ref="G49:J49" si="50">AVERAGE(G$43:G48)</f>
        <v>2.5</v>
      </c>
      <c r="H49" s="54">
        <f t="shared" si="50"/>
        <v>8.166666667</v>
      </c>
      <c r="I49" s="54">
        <f t="shared" si="50"/>
        <v>14.83333333</v>
      </c>
      <c r="J49" s="54">
        <f t="shared" si="50"/>
        <v>20.33333333</v>
      </c>
      <c r="L49" s="29">
        <f t="shared" ref="L49:S49" si="51">AVERAGE(L43:L48)</f>
        <v>0.6388888889</v>
      </c>
      <c r="M49" s="31">
        <f t="shared" si="51"/>
        <v>0</v>
      </c>
      <c r="N49" s="29">
        <f t="shared" si="51"/>
        <v>0.04166666667</v>
      </c>
      <c r="O49" s="31">
        <f t="shared" si="51"/>
        <v>0.01851851852</v>
      </c>
      <c r="P49" s="32">
        <f t="shared" si="51"/>
        <v>0.11459196</v>
      </c>
      <c r="Q49" s="29">
        <f t="shared" si="51"/>
        <v>0.2006613757</v>
      </c>
      <c r="R49" s="31">
        <f t="shared" si="51"/>
        <v>0.137926255</v>
      </c>
      <c r="S49" s="29">
        <f t="shared" si="51"/>
        <v>0.3555555556</v>
      </c>
      <c r="U49" s="34">
        <f t="shared" ref="U49:X49" si="52">SUM(U43:U48)</f>
        <v>16</v>
      </c>
      <c r="V49" s="34">
        <f t="shared" si="52"/>
        <v>17</v>
      </c>
      <c r="W49" s="34">
        <f t="shared" si="52"/>
        <v>24</v>
      </c>
      <c r="X49" s="34">
        <f t="shared" si="52"/>
        <v>47</v>
      </c>
      <c r="Y49" s="35">
        <f t="shared" si="43"/>
        <v>104</v>
      </c>
      <c r="AA49" s="29">
        <f t="shared" ref="AA49:AE49" si="53">AVERAGE(AA43:AA48)</f>
        <v>0</v>
      </c>
      <c r="AB49" s="31">
        <f t="shared" si="53"/>
        <v>0.05555555556</v>
      </c>
      <c r="AC49" s="31">
        <f t="shared" si="53"/>
        <v>0</v>
      </c>
      <c r="AD49" s="29">
        <f t="shared" si="53"/>
        <v>0.6666666667</v>
      </c>
      <c r="AE49" s="29">
        <f t="shared" si="53"/>
        <v>0.2777777778</v>
      </c>
      <c r="AG49" s="37">
        <f t="shared" ref="AG49:AK49" si="54">SUM(AG43:AG48)</f>
        <v>0</v>
      </c>
      <c r="AH49" s="37">
        <f t="shared" si="54"/>
        <v>1</v>
      </c>
      <c r="AI49" s="37">
        <f t="shared" si="54"/>
        <v>0</v>
      </c>
      <c r="AJ49" s="37">
        <f t="shared" si="54"/>
        <v>11</v>
      </c>
      <c r="AK49" s="37">
        <f t="shared" si="54"/>
        <v>4</v>
      </c>
      <c r="AL49" s="38">
        <f t="shared" si="44"/>
        <v>16</v>
      </c>
    </row>
    <row r="50">
      <c r="A50" s="56" t="s">
        <v>49</v>
      </c>
      <c r="B50" s="5"/>
      <c r="C50" s="5"/>
      <c r="D50" s="5"/>
      <c r="E50" s="5"/>
      <c r="F50" s="5"/>
      <c r="G50" s="5"/>
      <c r="H50" s="5"/>
      <c r="I50" s="5"/>
      <c r="J50" s="5"/>
      <c r="L50" s="21">
        <f t="array" ref="L50">SUM(L43:L48*U43:U48)/U49</f>
        <v>0.625</v>
      </c>
      <c r="M50" s="21">
        <f t="array" ref="M50">SUM(M43:M48*V43:V48)/V49</f>
        <v>0</v>
      </c>
      <c r="N50" s="21">
        <f t="array" ref="N50">SUM(N43:N48*W43:W48)/W49</f>
        <v>0.04166666667</v>
      </c>
      <c r="O50" s="21">
        <f t="array" ref="O50">SUM(O43:O48*X43:X48)/X49</f>
        <v>0.02127659574</v>
      </c>
      <c r="P50" s="40">
        <f t="array" ref="P50">SUM(P43:P48*Y43:Y48)/Y49</f>
        <v>0.1153846154</v>
      </c>
      <c r="Q50" s="17">
        <f t="array" ref="Q50">SUM(Q43:Q48*Y43:Y48-X43:X48)/SUM(U49:W49)</f>
        <v>0.1929824561</v>
      </c>
      <c r="R50" s="41">
        <f t="array" ref="R50">SUM(R43:R48*Y43:Y48-W43:W48)/(SUM(U49:X49)-W49)</f>
        <v>0.1375</v>
      </c>
      <c r="S50" s="17">
        <f t="array" ref="S50">SUM(S43:S48*U43:U48+V43:V48)/SUM(U49:V49)</f>
        <v>0.303030303</v>
      </c>
      <c r="AA50" s="21">
        <f t="shared" ref="AA50:AE50" si="55">AG49/$AL49</f>
        <v>0</v>
      </c>
      <c r="AB50" s="21">
        <f t="shared" si="55"/>
        <v>0.0625</v>
      </c>
      <c r="AC50" s="21">
        <f t="shared" si="55"/>
        <v>0</v>
      </c>
      <c r="AD50" s="21">
        <f t="shared" si="55"/>
        <v>0.6875</v>
      </c>
      <c r="AE50" s="21">
        <f t="shared" si="55"/>
        <v>0.25</v>
      </c>
      <c r="AF50" s="36">
        <f>SUM(AA50:AE50)</f>
        <v>1</v>
      </c>
    </row>
    <row r="51">
      <c r="A51" s="11"/>
      <c r="B51" s="45"/>
      <c r="C51" s="45"/>
      <c r="D51" s="45"/>
      <c r="E51" s="45"/>
      <c r="F51" s="45"/>
      <c r="G51" s="45"/>
      <c r="H51" s="45"/>
      <c r="I51" s="45"/>
      <c r="J51" s="5"/>
      <c r="L51" s="45"/>
      <c r="M51" s="45"/>
      <c r="N51" s="45"/>
      <c r="O51" s="45"/>
    </row>
    <row r="52">
      <c r="A52" s="13"/>
      <c r="B52" s="5"/>
      <c r="C52" s="5"/>
      <c r="D52" s="5"/>
      <c r="E52" s="5"/>
      <c r="F52" s="5"/>
      <c r="G52" s="5"/>
      <c r="H52" s="5"/>
      <c r="I52" s="5"/>
      <c r="J52" s="5"/>
    </row>
    <row r="53">
      <c r="A53" s="13"/>
      <c r="B53" s="5"/>
      <c r="C53" s="5"/>
      <c r="D53" s="5"/>
      <c r="E53" s="5"/>
      <c r="F53" s="5"/>
      <c r="G53" s="5"/>
      <c r="H53" s="5"/>
      <c r="I53" s="5"/>
      <c r="J53" s="5"/>
    </row>
    <row r="54">
      <c r="A54" s="13"/>
      <c r="B54" s="5"/>
      <c r="C54" s="5"/>
      <c r="D54" s="5"/>
      <c r="E54" s="5"/>
      <c r="F54" s="5"/>
      <c r="G54" s="5"/>
      <c r="H54" s="5"/>
      <c r="I54" s="5"/>
      <c r="J54" s="5"/>
    </row>
    <row r="55">
      <c r="A55" s="13"/>
      <c r="B55" s="5"/>
      <c r="C55" s="5"/>
      <c r="D55" s="5"/>
      <c r="E55" s="5"/>
      <c r="F55" s="5"/>
      <c r="G55" s="5"/>
      <c r="H55" s="5"/>
      <c r="I55" s="5"/>
      <c r="J55" s="5"/>
    </row>
    <row r="56">
      <c r="A56" s="13"/>
      <c r="B56" s="5"/>
      <c r="C56" s="5"/>
      <c r="D56" s="5"/>
      <c r="E56" s="5"/>
      <c r="F56" s="5"/>
      <c r="G56" s="5"/>
      <c r="H56" s="5"/>
      <c r="I56" s="5"/>
      <c r="J56" s="5"/>
    </row>
    <row r="57">
      <c r="A57" s="13"/>
      <c r="B57" s="5"/>
      <c r="C57" s="5"/>
      <c r="D57" s="5"/>
      <c r="E57" s="5"/>
      <c r="F57" s="5"/>
      <c r="G57" s="5"/>
      <c r="H57" s="5"/>
      <c r="I57" s="5"/>
      <c r="J57" s="5"/>
    </row>
    <row r="58">
      <c r="A58" s="13"/>
      <c r="B58" s="5"/>
      <c r="C58" s="5"/>
      <c r="D58" s="5"/>
      <c r="E58" s="5"/>
      <c r="F58" s="5"/>
      <c r="G58" s="5"/>
      <c r="H58" s="5"/>
      <c r="I58" s="5"/>
      <c r="J58" s="5"/>
    </row>
    <row r="59">
      <c r="A59" s="13"/>
      <c r="B59" s="5"/>
      <c r="C59" s="5"/>
      <c r="D59" s="5"/>
      <c r="E59" s="5"/>
      <c r="F59" s="5"/>
      <c r="G59" s="5"/>
      <c r="H59" s="5"/>
      <c r="I59" s="5"/>
      <c r="J59" s="5"/>
    </row>
    <row r="60">
      <c r="A60" s="13"/>
      <c r="B60" s="5"/>
      <c r="C60" s="5"/>
      <c r="D60" s="5"/>
      <c r="E60" s="5"/>
      <c r="F60" s="5"/>
      <c r="G60" s="5"/>
      <c r="H60" s="5"/>
      <c r="I60" s="5"/>
      <c r="J60" s="5"/>
    </row>
    <row r="61">
      <c r="A61" s="13"/>
      <c r="B61" s="5"/>
      <c r="C61" s="5"/>
      <c r="D61" s="5"/>
      <c r="E61" s="5"/>
      <c r="F61" s="5"/>
      <c r="G61" s="5"/>
      <c r="H61" s="5"/>
      <c r="I61" s="5"/>
      <c r="J61" s="5"/>
    </row>
    <row r="62">
      <c r="A62" s="13"/>
      <c r="B62" s="5"/>
      <c r="C62" s="5"/>
      <c r="D62" s="5"/>
      <c r="E62" s="5"/>
      <c r="F62" s="5"/>
      <c r="G62" s="5"/>
      <c r="H62" s="5"/>
      <c r="I62" s="5"/>
      <c r="J62" s="5"/>
    </row>
    <row r="63">
      <c r="A63" s="13"/>
      <c r="B63" s="5"/>
      <c r="C63" s="5"/>
      <c r="D63" s="5"/>
      <c r="E63" s="5"/>
      <c r="F63" s="5"/>
      <c r="G63" s="5"/>
      <c r="H63" s="5"/>
      <c r="I63" s="5"/>
      <c r="J63" s="5"/>
    </row>
    <row r="64">
      <c r="A64" s="13"/>
      <c r="B64" s="5"/>
      <c r="C64" s="5"/>
      <c r="D64" s="5"/>
      <c r="E64" s="5"/>
      <c r="F64" s="5"/>
      <c r="G64" s="5"/>
      <c r="H64" s="5"/>
      <c r="I64" s="5"/>
      <c r="J64" s="5"/>
    </row>
    <row r="65">
      <c r="A65" s="13"/>
      <c r="B65" s="5"/>
      <c r="C65" s="5"/>
      <c r="D65" s="5"/>
      <c r="E65" s="5"/>
      <c r="F65" s="5"/>
      <c r="G65" s="5"/>
      <c r="H65" s="5"/>
      <c r="I65" s="5"/>
      <c r="J65" s="5"/>
    </row>
    <row r="66">
      <c r="A66" s="13"/>
      <c r="B66" s="5"/>
      <c r="C66" s="5"/>
      <c r="D66" s="5"/>
      <c r="E66" s="5"/>
      <c r="F66" s="5"/>
      <c r="G66" s="5"/>
      <c r="H66" s="5"/>
      <c r="I66" s="5"/>
      <c r="J66" s="5"/>
    </row>
    <row r="67">
      <c r="A67" s="13"/>
      <c r="B67" s="5"/>
      <c r="C67" s="5"/>
      <c r="D67" s="5"/>
      <c r="E67" s="5"/>
      <c r="F67" s="5"/>
      <c r="G67" s="5"/>
      <c r="H67" s="5"/>
      <c r="I67" s="5"/>
      <c r="J67" s="5"/>
    </row>
    <row r="68">
      <c r="A68" s="13"/>
      <c r="B68" s="5"/>
      <c r="C68" s="5"/>
      <c r="D68" s="5"/>
      <c r="E68" s="5"/>
      <c r="F68" s="5"/>
      <c r="G68" s="5"/>
      <c r="H68" s="5"/>
      <c r="I68" s="5"/>
      <c r="J68" s="5"/>
    </row>
    <row r="69">
      <c r="A69" s="13"/>
      <c r="B69" s="5"/>
      <c r="C69" s="5"/>
      <c r="D69" s="5"/>
      <c r="E69" s="5"/>
      <c r="F69" s="5"/>
      <c r="G69" s="5"/>
      <c r="H69" s="5"/>
      <c r="I69" s="5"/>
      <c r="J69" s="5"/>
    </row>
    <row r="70">
      <c r="A70" s="13"/>
      <c r="B70" s="5"/>
      <c r="C70" s="5"/>
      <c r="D70" s="5"/>
      <c r="E70" s="5"/>
      <c r="F70" s="5"/>
      <c r="G70" s="5"/>
      <c r="H70" s="5"/>
      <c r="I70" s="5"/>
      <c r="J70" s="5"/>
    </row>
    <row r="71">
      <c r="A71" s="13"/>
      <c r="B71" s="5"/>
      <c r="C71" s="5"/>
      <c r="D71" s="5"/>
      <c r="E71" s="5"/>
      <c r="F71" s="5"/>
      <c r="G71" s="5"/>
      <c r="H71" s="5"/>
      <c r="I71" s="5"/>
      <c r="J71" s="5"/>
    </row>
    <row r="72">
      <c r="A72" s="13"/>
      <c r="B72" s="5"/>
      <c r="C72" s="5"/>
      <c r="D72" s="5"/>
      <c r="E72" s="5"/>
      <c r="F72" s="5"/>
      <c r="G72" s="5"/>
      <c r="H72" s="5"/>
      <c r="I72" s="5"/>
      <c r="J72" s="5"/>
    </row>
    <row r="73">
      <c r="A73" s="13"/>
      <c r="B73" s="5"/>
      <c r="C73" s="5"/>
      <c r="D73" s="5"/>
      <c r="E73" s="5"/>
      <c r="F73" s="5"/>
      <c r="G73" s="5"/>
      <c r="H73" s="5"/>
      <c r="I73" s="5"/>
      <c r="J73" s="5"/>
    </row>
    <row r="74">
      <c r="A74" s="13"/>
      <c r="B74" s="5"/>
      <c r="C74" s="5"/>
      <c r="D74" s="5"/>
      <c r="E74" s="5"/>
      <c r="F74" s="5"/>
      <c r="G74" s="5"/>
      <c r="H74" s="5"/>
      <c r="I74" s="5"/>
      <c r="J74" s="5"/>
    </row>
    <row r="75">
      <c r="A75" s="13"/>
      <c r="B75" s="5"/>
      <c r="C75" s="5"/>
      <c r="D75" s="5"/>
      <c r="E75" s="5"/>
      <c r="F75" s="5"/>
      <c r="G75" s="5"/>
      <c r="H75" s="5"/>
      <c r="I75" s="5"/>
      <c r="J75" s="5"/>
    </row>
    <row r="76">
      <c r="A76" s="13"/>
      <c r="B76" s="5"/>
      <c r="C76" s="5"/>
      <c r="D76" s="5"/>
      <c r="E76" s="5"/>
      <c r="F76" s="5"/>
      <c r="G76" s="5"/>
      <c r="H76" s="5"/>
      <c r="I76" s="5"/>
      <c r="J76" s="5"/>
    </row>
    <row r="77">
      <c r="A77" s="13"/>
      <c r="B77" s="5"/>
      <c r="C77" s="5"/>
      <c r="D77" s="5"/>
      <c r="E77" s="5"/>
      <c r="F77" s="5"/>
      <c r="G77" s="5"/>
      <c r="H77" s="5"/>
      <c r="I77" s="5"/>
      <c r="J77" s="5"/>
    </row>
    <row r="78">
      <c r="A78" s="13"/>
      <c r="B78" s="5"/>
      <c r="C78" s="5"/>
      <c r="D78" s="5"/>
      <c r="E78" s="5"/>
      <c r="F78" s="5"/>
      <c r="G78" s="5"/>
      <c r="H78" s="5"/>
      <c r="I78" s="5"/>
      <c r="J78" s="5"/>
    </row>
    <row r="79">
      <c r="A79" s="13"/>
      <c r="B79" s="5"/>
      <c r="C79" s="5"/>
      <c r="D79" s="5"/>
      <c r="E79" s="5"/>
      <c r="F79" s="5"/>
      <c r="G79" s="5"/>
      <c r="H79" s="5"/>
      <c r="I79" s="5"/>
      <c r="J79" s="5"/>
    </row>
    <row r="80">
      <c r="A80" s="13"/>
      <c r="B80" s="5"/>
      <c r="C80" s="5"/>
      <c r="D80" s="5"/>
      <c r="E80" s="5"/>
      <c r="F80" s="5"/>
      <c r="G80" s="5"/>
      <c r="H80" s="5"/>
      <c r="I80" s="5"/>
      <c r="J80" s="5"/>
    </row>
    <row r="81">
      <c r="A81" s="13"/>
      <c r="B81" s="5"/>
      <c r="C81" s="5"/>
      <c r="D81" s="5"/>
      <c r="E81" s="5"/>
      <c r="F81" s="5"/>
      <c r="G81" s="5"/>
      <c r="H81" s="5"/>
      <c r="I81" s="5"/>
      <c r="J81" s="5"/>
    </row>
    <row r="82">
      <c r="A82" s="13"/>
      <c r="B82" s="5"/>
      <c r="C82" s="5"/>
      <c r="D82" s="5"/>
      <c r="E82" s="5"/>
      <c r="F82" s="5"/>
      <c r="G82" s="5"/>
      <c r="H82" s="5"/>
      <c r="I82" s="5"/>
      <c r="J82" s="5"/>
    </row>
    <row r="83">
      <c r="A83" s="13"/>
      <c r="B83" s="5"/>
      <c r="C83" s="5"/>
      <c r="D83" s="5"/>
      <c r="E83" s="5"/>
      <c r="F83" s="5"/>
      <c r="G83" s="5"/>
      <c r="H83" s="5"/>
      <c r="I83" s="5"/>
      <c r="J83" s="5"/>
    </row>
    <row r="84">
      <c r="A84" s="13"/>
      <c r="B84" s="5"/>
      <c r="C84" s="5"/>
      <c r="D84" s="5"/>
      <c r="E84" s="5"/>
      <c r="F84" s="5"/>
      <c r="G84" s="5"/>
      <c r="H84" s="5"/>
      <c r="I84" s="5"/>
      <c r="J84" s="5"/>
    </row>
    <row r="85">
      <c r="A85" s="13"/>
      <c r="B85" s="5"/>
      <c r="C85" s="5"/>
      <c r="D85" s="5"/>
      <c r="E85" s="5"/>
      <c r="F85" s="5"/>
      <c r="G85" s="5"/>
      <c r="H85" s="5"/>
      <c r="I85" s="5"/>
      <c r="J85" s="5"/>
    </row>
    <row r="86">
      <c r="A86" s="13"/>
      <c r="B86" s="5"/>
      <c r="C86" s="5"/>
      <c r="D86" s="5"/>
      <c r="E86" s="5"/>
      <c r="F86" s="5"/>
      <c r="G86" s="5"/>
      <c r="H86" s="5"/>
      <c r="I86" s="5"/>
      <c r="J86" s="5"/>
    </row>
    <row r="87">
      <c r="A87" s="13"/>
      <c r="B87" s="5"/>
      <c r="C87" s="5"/>
      <c r="D87" s="5"/>
      <c r="E87" s="5"/>
      <c r="F87" s="5"/>
      <c r="G87" s="5"/>
      <c r="H87" s="5"/>
      <c r="I87" s="5"/>
      <c r="J87" s="5"/>
    </row>
    <row r="88">
      <c r="A88" s="13"/>
      <c r="B88" s="5"/>
      <c r="C88" s="5"/>
      <c r="D88" s="5"/>
      <c r="E88" s="5"/>
      <c r="F88" s="5"/>
      <c r="G88" s="5"/>
      <c r="H88" s="5"/>
      <c r="I88" s="5"/>
      <c r="J88" s="5"/>
    </row>
    <row r="89">
      <c r="A89" s="13"/>
      <c r="B89" s="5"/>
      <c r="C89" s="5"/>
      <c r="D89" s="5"/>
      <c r="E89" s="5"/>
      <c r="F89" s="5"/>
      <c r="G89" s="5"/>
      <c r="H89" s="5"/>
      <c r="I89" s="5"/>
      <c r="J89" s="5"/>
    </row>
    <row r="90">
      <c r="A90" s="13"/>
      <c r="B90" s="5"/>
      <c r="C90" s="5"/>
      <c r="D90" s="5"/>
      <c r="E90" s="5"/>
      <c r="F90" s="5"/>
      <c r="G90" s="5"/>
      <c r="H90" s="5"/>
      <c r="I90" s="5"/>
      <c r="J90" s="5"/>
    </row>
    <row r="91">
      <c r="A91" s="13"/>
      <c r="B91" s="5"/>
      <c r="C91" s="5"/>
      <c r="D91" s="5"/>
      <c r="E91" s="5"/>
      <c r="F91" s="5"/>
      <c r="G91" s="5"/>
      <c r="H91" s="5"/>
      <c r="I91" s="5"/>
      <c r="J91" s="5"/>
    </row>
    <row r="92">
      <c r="A92" s="13"/>
      <c r="B92" s="5"/>
      <c r="C92" s="5"/>
      <c r="D92" s="5"/>
      <c r="E92" s="5"/>
      <c r="F92" s="5"/>
      <c r="G92" s="5"/>
      <c r="H92" s="5"/>
      <c r="I92" s="5"/>
      <c r="J92" s="5"/>
    </row>
    <row r="93">
      <c r="A93" s="13"/>
      <c r="B93" s="5"/>
      <c r="C93" s="5"/>
      <c r="D93" s="5"/>
      <c r="E93" s="5"/>
      <c r="F93" s="5"/>
      <c r="G93" s="5"/>
      <c r="H93" s="5"/>
      <c r="I93" s="5"/>
      <c r="J93" s="5"/>
    </row>
    <row r="94">
      <c r="A94" s="13"/>
      <c r="B94" s="5"/>
      <c r="C94" s="5"/>
      <c r="D94" s="5"/>
      <c r="E94" s="5"/>
      <c r="F94" s="5"/>
      <c r="G94" s="5"/>
      <c r="H94" s="5"/>
      <c r="I94" s="5"/>
      <c r="J94" s="5"/>
    </row>
    <row r="95">
      <c r="A95" s="13"/>
      <c r="B95" s="5"/>
      <c r="C95" s="5"/>
      <c r="D95" s="5"/>
      <c r="E95" s="5"/>
      <c r="F95" s="5"/>
      <c r="G95" s="5"/>
      <c r="H95" s="5"/>
      <c r="I95" s="5"/>
      <c r="J95" s="5"/>
    </row>
    <row r="96">
      <c r="A96" s="13"/>
      <c r="B96" s="5"/>
      <c r="C96" s="5"/>
      <c r="D96" s="5"/>
      <c r="E96" s="5"/>
      <c r="F96" s="5"/>
      <c r="G96" s="5"/>
      <c r="H96" s="5"/>
      <c r="I96" s="5"/>
      <c r="J96" s="5"/>
    </row>
    <row r="97">
      <c r="A97" s="13"/>
      <c r="B97" s="5"/>
      <c r="C97" s="5"/>
      <c r="D97" s="5"/>
      <c r="E97" s="5"/>
      <c r="F97" s="5"/>
      <c r="G97" s="5"/>
      <c r="H97" s="5"/>
      <c r="I97" s="5"/>
      <c r="J97" s="5"/>
    </row>
    <row r="98">
      <c r="A98" s="13"/>
      <c r="B98" s="5"/>
      <c r="C98" s="5"/>
      <c r="D98" s="5"/>
      <c r="E98" s="5"/>
      <c r="F98" s="5"/>
      <c r="G98" s="5"/>
      <c r="H98" s="5"/>
      <c r="I98" s="5"/>
      <c r="J98" s="5"/>
    </row>
    <row r="99">
      <c r="A99" s="13"/>
      <c r="B99" s="5"/>
      <c r="C99" s="5"/>
      <c r="D99" s="5"/>
      <c r="E99" s="5"/>
      <c r="F99" s="5"/>
      <c r="G99" s="5"/>
      <c r="H99" s="5"/>
      <c r="I99" s="5"/>
      <c r="J99" s="5"/>
    </row>
    <row r="100">
      <c r="A100" s="13"/>
      <c r="B100" s="5"/>
      <c r="C100" s="5"/>
      <c r="D100" s="5"/>
      <c r="E100" s="5"/>
      <c r="F100" s="5"/>
      <c r="G100" s="5"/>
      <c r="H100" s="5"/>
      <c r="I100" s="5"/>
      <c r="J100" s="5"/>
    </row>
    <row r="101">
      <c r="A101" s="13"/>
      <c r="B101" s="5"/>
      <c r="C101" s="5"/>
      <c r="D101" s="5"/>
      <c r="E101" s="5"/>
      <c r="F101" s="5"/>
      <c r="G101" s="5"/>
      <c r="H101" s="5"/>
      <c r="I101" s="5"/>
      <c r="J101" s="5"/>
    </row>
    <row r="102">
      <c r="A102" s="13"/>
      <c r="B102" s="5"/>
      <c r="C102" s="5"/>
      <c r="D102" s="5"/>
      <c r="E102" s="5"/>
      <c r="F102" s="5"/>
      <c r="G102" s="5"/>
      <c r="H102" s="5"/>
      <c r="I102" s="5"/>
      <c r="J102" s="5"/>
    </row>
    <row r="103">
      <c r="A103" s="13"/>
      <c r="B103" s="5"/>
      <c r="C103" s="5"/>
      <c r="D103" s="5"/>
      <c r="E103" s="5"/>
      <c r="F103" s="5"/>
      <c r="G103" s="5"/>
      <c r="H103" s="5"/>
      <c r="I103" s="5"/>
      <c r="J103" s="5"/>
    </row>
    <row r="104">
      <c r="A104" s="13"/>
      <c r="B104" s="5"/>
      <c r="C104" s="5"/>
      <c r="D104" s="5"/>
      <c r="E104" s="5"/>
      <c r="F104" s="5"/>
      <c r="G104" s="5"/>
      <c r="H104" s="5"/>
      <c r="I104" s="5"/>
      <c r="J104" s="5"/>
    </row>
    <row r="105">
      <c r="A105" s="13"/>
      <c r="B105" s="5"/>
      <c r="C105" s="5"/>
      <c r="D105" s="5"/>
      <c r="E105" s="5"/>
      <c r="F105" s="5"/>
      <c r="G105" s="5"/>
      <c r="H105" s="5"/>
      <c r="I105" s="5"/>
      <c r="J105" s="5"/>
    </row>
    <row r="106">
      <c r="A106" s="13"/>
      <c r="B106" s="5"/>
      <c r="C106" s="5"/>
      <c r="D106" s="5"/>
      <c r="E106" s="5"/>
      <c r="F106" s="5"/>
      <c r="G106" s="5"/>
      <c r="H106" s="5"/>
      <c r="I106" s="5"/>
      <c r="J106" s="5"/>
    </row>
    <row r="107">
      <c r="A107" s="13"/>
      <c r="B107" s="5"/>
      <c r="C107" s="5"/>
      <c r="D107" s="5"/>
      <c r="E107" s="5"/>
      <c r="F107" s="5"/>
      <c r="G107" s="5"/>
      <c r="H107" s="5"/>
      <c r="I107" s="5"/>
      <c r="J107" s="5"/>
    </row>
    <row r="108">
      <c r="A108" s="13"/>
      <c r="B108" s="5"/>
      <c r="C108" s="5"/>
      <c r="D108" s="5"/>
      <c r="E108" s="5"/>
      <c r="F108" s="5"/>
      <c r="G108" s="5"/>
      <c r="H108" s="5"/>
      <c r="I108" s="5"/>
      <c r="J108" s="5"/>
    </row>
    <row r="109">
      <c r="A109" s="13"/>
      <c r="B109" s="5"/>
      <c r="C109" s="5"/>
      <c r="D109" s="5"/>
      <c r="E109" s="5"/>
      <c r="F109" s="5"/>
      <c r="G109" s="5"/>
      <c r="H109" s="5"/>
      <c r="I109" s="5"/>
      <c r="J109" s="5"/>
    </row>
    <row r="110">
      <c r="A110" s="13"/>
      <c r="B110" s="5"/>
      <c r="C110" s="5"/>
      <c r="D110" s="5"/>
      <c r="E110" s="5"/>
      <c r="F110" s="5"/>
      <c r="G110" s="5"/>
      <c r="H110" s="5"/>
      <c r="I110" s="5"/>
      <c r="J110" s="5"/>
    </row>
    <row r="111">
      <c r="A111" s="13"/>
      <c r="B111" s="5"/>
      <c r="C111" s="5"/>
      <c r="D111" s="5"/>
      <c r="E111" s="5"/>
      <c r="F111" s="5"/>
      <c r="G111" s="5"/>
      <c r="H111" s="5"/>
      <c r="I111" s="5"/>
      <c r="J111" s="5"/>
    </row>
    <row r="112">
      <c r="A112" s="13"/>
      <c r="B112" s="5"/>
      <c r="C112" s="5"/>
      <c r="D112" s="5"/>
      <c r="E112" s="5"/>
      <c r="F112" s="5"/>
      <c r="G112" s="5"/>
      <c r="H112" s="5"/>
      <c r="I112" s="5"/>
      <c r="J112" s="5"/>
    </row>
    <row r="113">
      <c r="A113" s="13"/>
      <c r="B113" s="5"/>
      <c r="C113" s="5"/>
      <c r="D113" s="5"/>
      <c r="E113" s="5"/>
      <c r="F113" s="5"/>
      <c r="G113" s="5"/>
      <c r="H113" s="5"/>
      <c r="I113" s="5"/>
      <c r="J113" s="5"/>
    </row>
    <row r="114">
      <c r="A114" s="13"/>
      <c r="B114" s="5"/>
      <c r="C114" s="5"/>
      <c r="D114" s="5"/>
      <c r="E114" s="5"/>
      <c r="F114" s="5"/>
      <c r="G114" s="5"/>
      <c r="H114" s="5"/>
      <c r="I114" s="5"/>
      <c r="J114" s="5"/>
    </row>
    <row r="115">
      <c r="A115" s="13"/>
      <c r="B115" s="5"/>
      <c r="C115" s="5"/>
      <c r="D115" s="5"/>
      <c r="E115" s="5"/>
      <c r="F115" s="5"/>
      <c r="G115" s="5"/>
      <c r="H115" s="5"/>
      <c r="I115" s="5"/>
      <c r="J115" s="5"/>
    </row>
    <row r="116">
      <c r="A116" s="13"/>
      <c r="B116" s="5"/>
      <c r="C116" s="5"/>
      <c r="D116" s="5"/>
      <c r="E116" s="5"/>
      <c r="F116" s="5"/>
      <c r="G116" s="5"/>
      <c r="H116" s="5"/>
      <c r="I116" s="5"/>
      <c r="J116" s="5"/>
    </row>
    <row r="117">
      <c r="A117" s="13"/>
      <c r="B117" s="5"/>
      <c r="C117" s="5"/>
      <c r="D117" s="5"/>
      <c r="E117" s="5"/>
      <c r="F117" s="5"/>
      <c r="G117" s="5"/>
      <c r="H117" s="5"/>
      <c r="I117" s="5"/>
      <c r="J117" s="5"/>
    </row>
    <row r="118">
      <c r="A118" s="13"/>
      <c r="B118" s="5"/>
      <c r="C118" s="5"/>
      <c r="D118" s="5"/>
      <c r="E118" s="5"/>
      <c r="F118" s="5"/>
      <c r="G118" s="5"/>
      <c r="H118" s="5"/>
      <c r="I118" s="5"/>
      <c r="J118" s="5"/>
    </row>
    <row r="119">
      <c r="A119" s="13"/>
      <c r="B119" s="5"/>
      <c r="C119" s="5"/>
      <c r="D119" s="5"/>
      <c r="E119" s="5"/>
      <c r="F119" s="5"/>
      <c r="G119" s="5"/>
      <c r="H119" s="5"/>
      <c r="I119" s="5"/>
      <c r="J119" s="5"/>
    </row>
    <row r="120">
      <c r="A120" s="13"/>
      <c r="B120" s="5"/>
      <c r="C120" s="5"/>
      <c r="D120" s="5"/>
      <c r="E120" s="5"/>
      <c r="F120" s="5"/>
      <c r="G120" s="5"/>
      <c r="H120" s="5"/>
      <c r="I120" s="5"/>
      <c r="J120" s="5"/>
    </row>
    <row r="121">
      <c r="A121" s="13"/>
      <c r="B121" s="5"/>
      <c r="C121" s="5"/>
      <c r="D121" s="5"/>
      <c r="E121" s="5"/>
      <c r="F121" s="5"/>
      <c r="G121" s="5"/>
      <c r="H121" s="5"/>
      <c r="I121" s="5"/>
      <c r="J121" s="5"/>
    </row>
    <row r="122">
      <c r="A122" s="13"/>
      <c r="B122" s="5"/>
      <c r="C122" s="5"/>
      <c r="D122" s="5"/>
      <c r="E122" s="5"/>
      <c r="F122" s="5"/>
      <c r="G122" s="5"/>
      <c r="H122" s="5"/>
      <c r="I122" s="5"/>
      <c r="J122" s="5"/>
    </row>
    <row r="123">
      <c r="A123" s="13"/>
      <c r="B123" s="5"/>
      <c r="C123" s="5"/>
      <c r="D123" s="5"/>
      <c r="E123" s="5"/>
      <c r="F123" s="5"/>
      <c r="G123" s="5"/>
      <c r="H123" s="5"/>
      <c r="I123" s="5"/>
      <c r="J123" s="5"/>
    </row>
    <row r="124">
      <c r="A124" s="13"/>
      <c r="B124" s="5"/>
      <c r="C124" s="5"/>
      <c r="D124" s="5"/>
      <c r="E124" s="5"/>
      <c r="F124" s="5"/>
      <c r="G124" s="5"/>
      <c r="H124" s="5"/>
      <c r="I124" s="5"/>
      <c r="J124" s="5"/>
    </row>
    <row r="125">
      <c r="A125" s="13"/>
      <c r="B125" s="5"/>
      <c r="C125" s="5"/>
      <c r="D125" s="5"/>
      <c r="E125" s="5"/>
      <c r="F125" s="5"/>
      <c r="G125" s="5"/>
      <c r="H125" s="5"/>
      <c r="I125" s="5"/>
      <c r="J125" s="5"/>
    </row>
    <row r="126">
      <c r="A126" s="13"/>
      <c r="B126" s="5"/>
      <c r="C126" s="5"/>
      <c r="D126" s="5"/>
      <c r="E126" s="5"/>
      <c r="F126" s="5"/>
      <c r="G126" s="5"/>
      <c r="H126" s="5"/>
      <c r="I126" s="5"/>
      <c r="J126" s="5"/>
    </row>
    <row r="127">
      <c r="A127" s="13"/>
      <c r="B127" s="5"/>
      <c r="C127" s="5"/>
      <c r="D127" s="5"/>
      <c r="E127" s="5"/>
      <c r="F127" s="5"/>
      <c r="G127" s="5"/>
      <c r="H127" s="5"/>
      <c r="I127" s="5"/>
      <c r="J127" s="5"/>
    </row>
    <row r="128">
      <c r="A128" s="13"/>
      <c r="B128" s="5"/>
      <c r="C128" s="5"/>
      <c r="D128" s="5"/>
      <c r="E128" s="5"/>
      <c r="F128" s="5"/>
      <c r="G128" s="5"/>
      <c r="H128" s="5"/>
      <c r="I128" s="5"/>
      <c r="J128" s="5"/>
    </row>
    <row r="129">
      <c r="A129" s="13"/>
      <c r="B129" s="5"/>
      <c r="C129" s="5"/>
      <c r="D129" s="5"/>
      <c r="E129" s="5"/>
      <c r="F129" s="5"/>
      <c r="G129" s="5"/>
      <c r="H129" s="5"/>
      <c r="I129" s="5"/>
      <c r="J129" s="5"/>
    </row>
    <row r="130">
      <c r="A130" s="13"/>
      <c r="B130" s="5"/>
      <c r="C130" s="5"/>
      <c r="D130" s="5"/>
      <c r="E130" s="5"/>
      <c r="F130" s="5"/>
      <c r="G130" s="5"/>
      <c r="H130" s="5"/>
      <c r="I130" s="5"/>
      <c r="J130" s="5"/>
    </row>
    <row r="131">
      <c r="A131" s="13"/>
      <c r="B131" s="5"/>
      <c r="C131" s="5"/>
      <c r="D131" s="5"/>
      <c r="E131" s="5"/>
      <c r="F131" s="5"/>
      <c r="G131" s="5"/>
      <c r="H131" s="5"/>
      <c r="I131" s="5"/>
      <c r="J131" s="5"/>
    </row>
    <row r="132">
      <c r="A132" s="13"/>
      <c r="B132" s="5"/>
      <c r="C132" s="5"/>
      <c r="D132" s="5"/>
      <c r="E132" s="5"/>
      <c r="F132" s="5"/>
      <c r="G132" s="5"/>
      <c r="H132" s="5"/>
      <c r="I132" s="5"/>
      <c r="J132" s="5"/>
    </row>
    <row r="133">
      <c r="A133" s="13"/>
      <c r="B133" s="5"/>
      <c r="C133" s="5"/>
      <c r="D133" s="5"/>
      <c r="E133" s="5"/>
      <c r="F133" s="5"/>
      <c r="G133" s="5"/>
      <c r="H133" s="5"/>
      <c r="I133" s="5"/>
      <c r="J133" s="5"/>
    </row>
    <row r="134">
      <c r="A134" s="13"/>
      <c r="B134" s="5"/>
      <c r="C134" s="5"/>
      <c r="D134" s="5"/>
      <c r="E134" s="5"/>
      <c r="F134" s="5"/>
      <c r="G134" s="5"/>
      <c r="H134" s="5"/>
      <c r="I134" s="5"/>
      <c r="J134" s="5"/>
    </row>
    <row r="135">
      <c r="A135" s="13"/>
      <c r="B135" s="5"/>
      <c r="C135" s="5"/>
      <c r="D135" s="5"/>
      <c r="E135" s="5"/>
      <c r="F135" s="5"/>
      <c r="G135" s="5"/>
      <c r="H135" s="5"/>
      <c r="I135" s="5"/>
      <c r="J135" s="5"/>
    </row>
    <row r="136">
      <c r="A136" s="13"/>
      <c r="B136" s="5"/>
      <c r="C136" s="5"/>
      <c r="D136" s="5"/>
      <c r="E136" s="5"/>
      <c r="F136" s="5"/>
      <c r="G136" s="5"/>
      <c r="H136" s="5"/>
      <c r="I136" s="5"/>
      <c r="J136" s="5"/>
    </row>
    <row r="137">
      <c r="A137" s="13"/>
      <c r="B137" s="5"/>
      <c r="C137" s="5"/>
      <c r="D137" s="5"/>
      <c r="E137" s="5"/>
      <c r="F137" s="5"/>
      <c r="G137" s="5"/>
      <c r="H137" s="5"/>
      <c r="I137" s="5"/>
      <c r="J137" s="5"/>
    </row>
    <row r="138">
      <c r="A138" s="13"/>
      <c r="B138" s="5"/>
      <c r="C138" s="5"/>
      <c r="D138" s="5"/>
      <c r="E138" s="5"/>
      <c r="F138" s="5"/>
      <c r="G138" s="5"/>
      <c r="H138" s="5"/>
      <c r="I138" s="5"/>
      <c r="J138" s="5"/>
    </row>
    <row r="139">
      <c r="A139" s="13"/>
      <c r="B139" s="5"/>
      <c r="C139" s="5"/>
      <c r="D139" s="5"/>
      <c r="E139" s="5"/>
      <c r="F139" s="5"/>
      <c r="G139" s="5"/>
      <c r="H139" s="5"/>
      <c r="I139" s="5"/>
      <c r="J139" s="5"/>
    </row>
    <row r="140">
      <c r="A140" s="13"/>
      <c r="B140" s="5"/>
      <c r="C140" s="5"/>
      <c r="D140" s="5"/>
      <c r="E140" s="5"/>
      <c r="F140" s="5"/>
      <c r="G140" s="5"/>
      <c r="H140" s="5"/>
      <c r="I140" s="5"/>
      <c r="J140" s="5"/>
    </row>
    <row r="141">
      <c r="A141" s="13"/>
      <c r="B141" s="5"/>
      <c r="C141" s="5"/>
      <c r="D141" s="5"/>
      <c r="E141" s="5"/>
      <c r="F141" s="5"/>
      <c r="G141" s="5"/>
      <c r="H141" s="5"/>
      <c r="I141" s="5"/>
      <c r="J141" s="5"/>
    </row>
    <row r="142">
      <c r="A142" s="13"/>
      <c r="B142" s="5"/>
      <c r="C142" s="5"/>
      <c r="D142" s="5"/>
      <c r="E142" s="5"/>
      <c r="F142" s="5"/>
      <c r="G142" s="5"/>
      <c r="H142" s="5"/>
      <c r="I142" s="5"/>
      <c r="J142" s="5"/>
    </row>
    <row r="143">
      <c r="A143" s="13"/>
      <c r="B143" s="5"/>
      <c r="C143" s="5"/>
      <c r="D143" s="5"/>
      <c r="E143" s="5"/>
      <c r="F143" s="5"/>
      <c r="G143" s="5"/>
      <c r="H143" s="5"/>
      <c r="I143" s="5"/>
      <c r="J143" s="5"/>
    </row>
    <row r="144">
      <c r="A144" s="13"/>
      <c r="B144" s="5"/>
      <c r="C144" s="5"/>
      <c r="D144" s="5"/>
      <c r="E144" s="5"/>
      <c r="F144" s="5"/>
      <c r="G144" s="5"/>
      <c r="H144" s="5"/>
      <c r="I144" s="5"/>
      <c r="J144" s="5"/>
    </row>
    <row r="145">
      <c r="A145" s="13"/>
      <c r="B145" s="5"/>
      <c r="C145" s="5"/>
      <c r="D145" s="5"/>
      <c r="E145" s="5"/>
      <c r="F145" s="5"/>
      <c r="G145" s="5"/>
      <c r="H145" s="5"/>
      <c r="I145" s="5"/>
      <c r="J145" s="5"/>
    </row>
    <row r="146">
      <c r="A146" s="13"/>
      <c r="B146" s="5"/>
      <c r="C146" s="5"/>
      <c r="D146" s="5"/>
      <c r="E146" s="5"/>
      <c r="F146" s="5"/>
      <c r="G146" s="5"/>
      <c r="H146" s="5"/>
      <c r="I146" s="5"/>
      <c r="J146" s="5"/>
    </row>
    <row r="147">
      <c r="A147" s="13"/>
      <c r="B147" s="5"/>
      <c r="C147" s="5"/>
      <c r="D147" s="5"/>
      <c r="E147" s="5"/>
      <c r="F147" s="5"/>
      <c r="G147" s="5"/>
      <c r="H147" s="5"/>
      <c r="I147" s="5"/>
      <c r="J147" s="5"/>
    </row>
    <row r="148">
      <c r="A148" s="13"/>
      <c r="B148" s="5"/>
      <c r="C148" s="5"/>
      <c r="D148" s="5"/>
      <c r="E148" s="5"/>
      <c r="F148" s="5"/>
      <c r="G148" s="5"/>
      <c r="H148" s="5"/>
      <c r="I148" s="5"/>
      <c r="J148" s="5"/>
    </row>
    <row r="149">
      <c r="A149" s="13"/>
      <c r="B149" s="5"/>
      <c r="C149" s="5"/>
      <c r="D149" s="5"/>
      <c r="E149" s="5"/>
      <c r="F149" s="5"/>
      <c r="G149" s="5"/>
      <c r="H149" s="5"/>
      <c r="I149" s="5"/>
      <c r="J149" s="5"/>
    </row>
    <row r="150">
      <c r="A150" s="13"/>
      <c r="B150" s="5"/>
      <c r="C150" s="5"/>
      <c r="D150" s="5"/>
      <c r="E150" s="5"/>
      <c r="F150" s="5"/>
      <c r="G150" s="5"/>
      <c r="H150" s="5"/>
      <c r="I150" s="5"/>
      <c r="J150" s="5"/>
    </row>
    <row r="151">
      <c r="A151" s="13"/>
      <c r="B151" s="5"/>
      <c r="C151" s="5"/>
      <c r="D151" s="5"/>
      <c r="E151" s="5"/>
      <c r="F151" s="5"/>
      <c r="G151" s="5"/>
      <c r="H151" s="5"/>
      <c r="I151" s="5"/>
      <c r="J151" s="5"/>
    </row>
    <row r="152">
      <c r="A152" s="13"/>
      <c r="B152" s="5"/>
      <c r="C152" s="5"/>
      <c r="D152" s="5"/>
      <c r="E152" s="5"/>
      <c r="F152" s="5"/>
      <c r="G152" s="5"/>
      <c r="H152" s="5"/>
      <c r="I152" s="5"/>
      <c r="J152" s="5"/>
    </row>
    <row r="153">
      <c r="A153" s="13"/>
      <c r="B153" s="5"/>
      <c r="C153" s="5"/>
      <c r="D153" s="5"/>
      <c r="E153" s="5"/>
      <c r="F153" s="5"/>
      <c r="G153" s="5"/>
      <c r="H153" s="5"/>
      <c r="I153" s="5"/>
      <c r="J153" s="5"/>
    </row>
    <row r="154">
      <c r="A154" s="13"/>
      <c r="B154" s="5"/>
      <c r="C154" s="5"/>
      <c r="D154" s="5"/>
      <c r="E154" s="5"/>
      <c r="F154" s="5"/>
      <c r="G154" s="5"/>
      <c r="H154" s="5"/>
      <c r="I154" s="5"/>
      <c r="J154" s="5"/>
    </row>
    <row r="155">
      <c r="A155" s="13"/>
      <c r="B155" s="5"/>
      <c r="C155" s="5"/>
      <c r="D155" s="5"/>
      <c r="E155" s="5"/>
      <c r="F155" s="5"/>
      <c r="G155" s="5"/>
      <c r="H155" s="5"/>
      <c r="I155" s="5"/>
      <c r="J155" s="5"/>
    </row>
    <row r="156">
      <c r="A156" s="13"/>
      <c r="B156" s="5"/>
      <c r="C156" s="5"/>
      <c r="D156" s="5"/>
      <c r="E156" s="5"/>
      <c r="F156" s="5"/>
      <c r="G156" s="5"/>
      <c r="H156" s="5"/>
      <c r="I156" s="5"/>
      <c r="J156" s="5"/>
    </row>
    <row r="157">
      <c r="A157" s="13"/>
      <c r="B157" s="5"/>
      <c r="C157" s="5"/>
      <c r="D157" s="5"/>
      <c r="E157" s="5"/>
      <c r="F157" s="5"/>
      <c r="G157" s="5"/>
      <c r="H157" s="5"/>
      <c r="I157" s="5"/>
      <c r="J157" s="5"/>
    </row>
    <row r="158">
      <c r="A158" s="13"/>
      <c r="B158" s="5"/>
      <c r="C158" s="5"/>
      <c r="D158" s="5"/>
      <c r="E158" s="5"/>
      <c r="F158" s="5"/>
      <c r="G158" s="5"/>
      <c r="H158" s="5"/>
      <c r="I158" s="5"/>
      <c r="J158" s="5"/>
    </row>
    <row r="159">
      <c r="A159" s="13"/>
      <c r="B159" s="5"/>
      <c r="C159" s="5"/>
      <c r="D159" s="5"/>
      <c r="E159" s="5"/>
      <c r="F159" s="5"/>
      <c r="G159" s="5"/>
      <c r="H159" s="5"/>
      <c r="I159" s="5"/>
      <c r="J159" s="5"/>
    </row>
    <row r="160">
      <c r="A160" s="13"/>
      <c r="B160" s="5"/>
      <c r="C160" s="5"/>
      <c r="D160" s="5"/>
      <c r="E160" s="5"/>
      <c r="F160" s="5"/>
      <c r="G160" s="5"/>
      <c r="H160" s="5"/>
      <c r="I160" s="5"/>
      <c r="J160" s="5"/>
    </row>
    <row r="161">
      <c r="A161" s="13"/>
      <c r="B161" s="5"/>
      <c r="C161" s="5"/>
      <c r="D161" s="5"/>
      <c r="E161" s="5"/>
      <c r="F161" s="5"/>
      <c r="G161" s="5"/>
      <c r="H161" s="5"/>
      <c r="I161" s="5"/>
      <c r="J161" s="5"/>
    </row>
    <row r="162">
      <c r="A162" s="13"/>
      <c r="B162" s="5"/>
      <c r="C162" s="5"/>
      <c r="D162" s="5"/>
      <c r="E162" s="5"/>
      <c r="F162" s="5"/>
      <c r="G162" s="5"/>
      <c r="H162" s="5"/>
      <c r="I162" s="5"/>
      <c r="J162" s="5"/>
    </row>
    <row r="163">
      <c r="A163" s="13"/>
      <c r="B163" s="5"/>
      <c r="C163" s="5"/>
      <c r="D163" s="5"/>
      <c r="E163" s="5"/>
      <c r="F163" s="5"/>
      <c r="G163" s="5"/>
      <c r="H163" s="5"/>
      <c r="I163" s="5"/>
      <c r="J163" s="5"/>
    </row>
    <row r="164">
      <c r="A164" s="13"/>
      <c r="B164" s="5"/>
      <c r="C164" s="5"/>
      <c r="D164" s="5"/>
      <c r="E164" s="5"/>
      <c r="F164" s="5"/>
      <c r="G164" s="5"/>
      <c r="H164" s="5"/>
      <c r="I164" s="5"/>
      <c r="J164" s="5"/>
    </row>
    <row r="165">
      <c r="A165" s="13"/>
      <c r="B165" s="5"/>
      <c r="C165" s="5"/>
      <c r="D165" s="5"/>
      <c r="E165" s="5"/>
      <c r="F165" s="5"/>
      <c r="G165" s="5"/>
      <c r="H165" s="5"/>
      <c r="I165" s="5"/>
      <c r="J165" s="5"/>
    </row>
    <row r="166">
      <c r="A166" s="13"/>
      <c r="B166" s="5"/>
      <c r="C166" s="5"/>
      <c r="D166" s="5"/>
      <c r="E166" s="5"/>
      <c r="F166" s="5"/>
      <c r="G166" s="5"/>
      <c r="H166" s="5"/>
      <c r="I166" s="5"/>
      <c r="J166" s="5"/>
    </row>
    <row r="167">
      <c r="A167" s="13"/>
      <c r="B167" s="5"/>
      <c r="C167" s="5"/>
      <c r="D167" s="5"/>
      <c r="E167" s="5"/>
      <c r="F167" s="5"/>
      <c r="G167" s="5"/>
      <c r="H167" s="5"/>
      <c r="I167" s="5"/>
      <c r="J167" s="5"/>
    </row>
    <row r="168">
      <c r="A168" s="13"/>
      <c r="B168" s="5"/>
      <c r="C168" s="5"/>
      <c r="D168" s="5"/>
      <c r="E168" s="5"/>
      <c r="F168" s="5"/>
      <c r="G168" s="5"/>
      <c r="H168" s="5"/>
      <c r="I168" s="5"/>
      <c r="J168" s="5"/>
    </row>
    <row r="169">
      <c r="A169" s="13"/>
      <c r="B169" s="5"/>
      <c r="C169" s="5"/>
      <c r="D169" s="5"/>
      <c r="E169" s="5"/>
      <c r="F169" s="5"/>
      <c r="G169" s="5"/>
      <c r="H169" s="5"/>
      <c r="I169" s="5"/>
      <c r="J169" s="5"/>
    </row>
    <row r="170">
      <c r="A170" s="13"/>
      <c r="B170" s="5"/>
      <c r="C170" s="5"/>
      <c r="D170" s="5"/>
      <c r="E170" s="5"/>
      <c r="F170" s="5"/>
      <c r="G170" s="5"/>
      <c r="H170" s="5"/>
      <c r="I170" s="5"/>
      <c r="J170" s="5"/>
    </row>
    <row r="171">
      <c r="A171" s="13"/>
      <c r="B171" s="5"/>
      <c r="C171" s="5"/>
      <c r="D171" s="5"/>
      <c r="E171" s="5"/>
      <c r="F171" s="5"/>
      <c r="G171" s="5"/>
      <c r="H171" s="5"/>
      <c r="I171" s="5"/>
      <c r="J171" s="5"/>
    </row>
    <row r="172">
      <c r="A172" s="13"/>
      <c r="B172" s="5"/>
      <c r="C172" s="5"/>
      <c r="D172" s="5"/>
      <c r="E172" s="5"/>
      <c r="F172" s="5"/>
      <c r="G172" s="5"/>
      <c r="H172" s="5"/>
      <c r="I172" s="5"/>
      <c r="J172" s="5"/>
    </row>
    <row r="173">
      <c r="A173" s="13"/>
      <c r="B173" s="5"/>
      <c r="C173" s="5"/>
      <c r="D173" s="5"/>
      <c r="E173" s="5"/>
      <c r="F173" s="5"/>
      <c r="G173" s="5"/>
      <c r="H173" s="5"/>
      <c r="I173" s="5"/>
      <c r="J173" s="5"/>
    </row>
    <row r="174">
      <c r="A174" s="13"/>
      <c r="B174" s="5"/>
      <c r="C174" s="5"/>
      <c r="D174" s="5"/>
      <c r="E174" s="5"/>
      <c r="F174" s="5"/>
      <c r="G174" s="5"/>
      <c r="H174" s="5"/>
      <c r="I174" s="5"/>
      <c r="J174" s="5"/>
    </row>
    <row r="175">
      <c r="A175" s="13"/>
      <c r="B175" s="5"/>
      <c r="C175" s="5"/>
      <c r="D175" s="5"/>
      <c r="E175" s="5"/>
      <c r="F175" s="5"/>
      <c r="G175" s="5"/>
      <c r="H175" s="5"/>
      <c r="I175" s="5"/>
      <c r="J175" s="5"/>
    </row>
    <row r="176">
      <c r="A176" s="13"/>
      <c r="B176" s="5"/>
      <c r="C176" s="5"/>
      <c r="D176" s="5"/>
      <c r="E176" s="5"/>
      <c r="F176" s="5"/>
      <c r="G176" s="5"/>
      <c r="H176" s="5"/>
      <c r="I176" s="5"/>
      <c r="J176" s="5"/>
    </row>
    <row r="177">
      <c r="A177" s="13"/>
      <c r="B177" s="5"/>
      <c r="C177" s="5"/>
      <c r="D177" s="5"/>
      <c r="E177" s="5"/>
      <c r="F177" s="5"/>
      <c r="G177" s="5"/>
      <c r="H177" s="5"/>
      <c r="I177" s="5"/>
      <c r="J177" s="5"/>
    </row>
    <row r="178">
      <c r="A178" s="13"/>
      <c r="B178" s="5"/>
      <c r="C178" s="5"/>
      <c r="D178" s="5"/>
      <c r="E178" s="5"/>
      <c r="F178" s="5"/>
      <c r="G178" s="5"/>
      <c r="H178" s="5"/>
      <c r="I178" s="5"/>
      <c r="J178" s="5"/>
    </row>
    <row r="179">
      <c r="A179" s="13"/>
      <c r="B179" s="5"/>
      <c r="C179" s="5"/>
      <c r="D179" s="5"/>
      <c r="E179" s="5"/>
      <c r="F179" s="5"/>
      <c r="G179" s="5"/>
      <c r="H179" s="5"/>
      <c r="I179" s="5"/>
      <c r="J179" s="5"/>
    </row>
    <row r="180">
      <c r="A180" s="13"/>
      <c r="B180" s="5"/>
      <c r="C180" s="5"/>
      <c r="D180" s="5"/>
      <c r="E180" s="5"/>
      <c r="F180" s="5"/>
      <c r="G180" s="5"/>
      <c r="H180" s="5"/>
      <c r="I180" s="5"/>
      <c r="J180" s="5"/>
    </row>
    <row r="181">
      <c r="A181" s="13"/>
      <c r="B181" s="5"/>
      <c r="C181" s="5"/>
      <c r="D181" s="5"/>
      <c r="E181" s="5"/>
      <c r="F181" s="5"/>
      <c r="G181" s="5"/>
      <c r="H181" s="5"/>
      <c r="I181" s="5"/>
      <c r="J181" s="5"/>
    </row>
    <row r="182">
      <c r="A182" s="13"/>
      <c r="B182" s="5"/>
      <c r="C182" s="5"/>
      <c r="D182" s="5"/>
      <c r="E182" s="5"/>
      <c r="F182" s="5"/>
      <c r="G182" s="5"/>
      <c r="H182" s="5"/>
      <c r="I182" s="5"/>
      <c r="J182" s="5"/>
    </row>
    <row r="183">
      <c r="A183" s="13"/>
      <c r="B183" s="5"/>
      <c r="C183" s="5"/>
      <c r="D183" s="5"/>
      <c r="E183" s="5"/>
      <c r="F183" s="5"/>
      <c r="G183" s="5"/>
      <c r="H183" s="5"/>
      <c r="I183" s="5"/>
      <c r="J183" s="5"/>
    </row>
    <row r="184">
      <c r="A184" s="13"/>
      <c r="B184" s="5"/>
      <c r="C184" s="5"/>
      <c r="D184" s="5"/>
      <c r="E184" s="5"/>
      <c r="F184" s="5"/>
      <c r="G184" s="5"/>
      <c r="H184" s="5"/>
      <c r="I184" s="5"/>
      <c r="J184" s="5"/>
    </row>
    <row r="185">
      <c r="A185" s="13"/>
      <c r="B185" s="5"/>
      <c r="C185" s="5"/>
      <c r="D185" s="5"/>
      <c r="E185" s="5"/>
      <c r="F185" s="5"/>
      <c r="G185" s="5"/>
      <c r="H185" s="5"/>
      <c r="I185" s="5"/>
      <c r="J185" s="5"/>
    </row>
    <row r="186">
      <c r="A186" s="13"/>
      <c r="B186" s="5"/>
      <c r="C186" s="5"/>
      <c r="D186" s="5"/>
      <c r="E186" s="5"/>
      <c r="F186" s="5"/>
      <c r="G186" s="5"/>
      <c r="H186" s="5"/>
      <c r="I186" s="5"/>
      <c r="J186" s="5"/>
    </row>
    <row r="187">
      <c r="A187" s="13"/>
      <c r="B187" s="5"/>
      <c r="C187" s="5"/>
      <c r="D187" s="5"/>
      <c r="E187" s="5"/>
      <c r="F187" s="5"/>
      <c r="G187" s="5"/>
      <c r="H187" s="5"/>
      <c r="I187" s="5"/>
      <c r="J187" s="5"/>
    </row>
    <row r="188">
      <c r="A188" s="13"/>
      <c r="B188" s="5"/>
      <c r="C188" s="5"/>
      <c r="D188" s="5"/>
      <c r="E188" s="5"/>
      <c r="F188" s="5"/>
      <c r="G188" s="5"/>
      <c r="H188" s="5"/>
      <c r="I188" s="5"/>
      <c r="J188" s="5"/>
    </row>
    <row r="189">
      <c r="A189" s="13"/>
      <c r="B189" s="5"/>
      <c r="C189" s="5"/>
      <c r="D189" s="5"/>
      <c r="E189" s="5"/>
      <c r="F189" s="5"/>
      <c r="G189" s="5"/>
      <c r="H189" s="5"/>
      <c r="I189" s="5"/>
      <c r="J189" s="5"/>
    </row>
    <row r="190">
      <c r="A190" s="13"/>
      <c r="B190" s="5"/>
      <c r="C190" s="5"/>
      <c r="D190" s="5"/>
      <c r="E190" s="5"/>
      <c r="F190" s="5"/>
      <c r="G190" s="5"/>
      <c r="H190" s="5"/>
      <c r="I190" s="5"/>
      <c r="J190" s="5"/>
    </row>
    <row r="191">
      <c r="A191" s="13"/>
      <c r="B191" s="5"/>
      <c r="C191" s="5"/>
      <c r="D191" s="5"/>
      <c r="E191" s="5"/>
      <c r="F191" s="5"/>
      <c r="G191" s="5"/>
      <c r="H191" s="5"/>
      <c r="I191" s="5"/>
      <c r="J191" s="5"/>
    </row>
    <row r="192">
      <c r="A192" s="13"/>
      <c r="B192" s="5"/>
      <c r="C192" s="5"/>
      <c r="D192" s="5"/>
      <c r="E192" s="5"/>
      <c r="F192" s="5"/>
      <c r="G192" s="5"/>
      <c r="H192" s="5"/>
      <c r="I192" s="5"/>
      <c r="J192" s="5"/>
    </row>
    <row r="193">
      <c r="A193" s="13"/>
      <c r="B193" s="5"/>
      <c r="C193" s="5"/>
      <c r="D193" s="5"/>
      <c r="E193" s="5"/>
      <c r="F193" s="5"/>
      <c r="G193" s="5"/>
      <c r="H193" s="5"/>
      <c r="I193" s="5"/>
      <c r="J193" s="5"/>
    </row>
    <row r="194">
      <c r="A194" s="13"/>
      <c r="B194" s="5"/>
      <c r="C194" s="5"/>
      <c r="D194" s="5"/>
      <c r="E194" s="5"/>
      <c r="F194" s="5"/>
      <c r="G194" s="5"/>
      <c r="H194" s="5"/>
      <c r="I194" s="5"/>
      <c r="J194" s="5"/>
    </row>
    <row r="195">
      <c r="A195" s="13"/>
      <c r="B195" s="5"/>
      <c r="C195" s="5"/>
      <c r="D195" s="5"/>
      <c r="E195" s="5"/>
      <c r="F195" s="5"/>
      <c r="G195" s="5"/>
      <c r="H195" s="5"/>
      <c r="I195" s="5"/>
      <c r="J195" s="5"/>
    </row>
    <row r="196">
      <c r="A196" s="13"/>
      <c r="B196" s="5"/>
      <c r="C196" s="5"/>
      <c r="D196" s="5"/>
      <c r="E196" s="5"/>
      <c r="F196" s="5"/>
      <c r="G196" s="5"/>
      <c r="H196" s="5"/>
      <c r="I196" s="5"/>
      <c r="J196" s="5"/>
    </row>
    <row r="197">
      <c r="A197" s="13"/>
      <c r="B197" s="5"/>
      <c r="C197" s="5"/>
      <c r="D197" s="5"/>
      <c r="E197" s="5"/>
      <c r="F197" s="5"/>
      <c r="G197" s="5"/>
      <c r="H197" s="5"/>
      <c r="I197" s="5"/>
      <c r="J197" s="5"/>
    </row>
    <row r="198">
      <c r="A198" s="13"/>
      <c r="B198" s="5"/>
      <c r="C198" s="5"/>
      <c r="D198" s="5"/>
      <c r="E198" s="5"/>
      <c r="F198" s="5"/>
      <c r="G198" s="5"/>
      <c r="H198" s="5"/>
      <c r="I198" s="5"/>
      <c r="J198" s="5"/>
    </row>
    <row r="199">
      <c r="A199" s="13"/>
      <c r="B199" s="5"/>
      <c r="C199" s="5"/>
      <c r="D199" s="5"/>
      <c r="E199" s="5"/>
      <c r="F199" s="5"/>
      <c r="G199" s="5"/>
      <c r="H199" s="5"/>
      <c r="I199" s="5"/>
      <c r="J199" s="5"/>
    </row>
    <row r="200">
      <c r="A200" s="13"/>
      <c r="B200" s="5"/>
      <c r="C200" s="5"/>
      <c r="D200" s="5"/>
      <c r="E200" s="5"/>
      <c r="F200" s="5"/>
      <c r="G200" s="5"/>
      <c r="H200" s="5"/>
      <c r="I200" s="5"/>
      <c r="J200" s="5"/>
    </row>
    <row r="201">
      <c r="A201" s="13"/>
      <c r="B201" s="5"/>
      <c r="C201" s="5"/>
      <c r="D201" s="5"/>
      <c r="E201" s="5"/>
      <c r="F201" s="5"/>
      <c r="G201" s="5"/>
      <c r="H201" s="5"/>
      <c r="I201" s="5"/>
      <c r="J201" s="5"/>
    </row>
    <row r="202">
      <c r="A202" s="13"/>
      <c r="B202" s="5"/>
      <c r="C202" s="5"/>
      <c r="D202" s="5"/>
      <c r="E202" s="5"/>
      <c r="F202" s="5"/>
      <c r="G202" s="5"/>
      <c r="H202" s="5"/>
      <c r="I202" s="5"/>
      <c r="J202" s="5"/>
    </row>
    <row r="203">
      <c r="A203" s="13"/>
      <c r="B203" s="5"/>
      <c r="C203" s="5"/>
      <c r="D203" s="5"/>
      <c r="E203" s="5"/>
      <c r="F203" s="5"/>
      <c r="G203" s="5"/>
      <c r="H203" s="5"/>
      <c r="I203" s="5"/>
      <c r="J203" s="5"/>
    </row>
    <row r="204">
      <c r="A204" s="13"/>
      <c r="B204" s="5"/>
      <c r="C204" s="5"/>
      <c r="D204" s="5"/>
      <c r="E204" s="5"/>
      <c r="F204" s="5"/>
      <c r="G204" s="5"/>
      <c r="H204" s="5"/>
      <c r="I204" s="5"/>
      <c r="J204" s="5"/>
    </row>
    <row r="205">
      <c r="A205" s="13"/>
      <c r="B205" s="5"/>
      <c r="C205" s="5"/>
      <c r="D205" s="5"/>
      <c r="E205" s="5"/>
      <c r="F205" s="5"/>
      <c r="G205" s="5"/>
      <c r="H205" s="5"/>
      <c r="I205" s="5"/>
      <c r="J205" s="5"/>
    </row>
    <row r="206">
      <c r="A206" s="13"/>
      <c r="B206" s="5"/>
      <c r="C206" s="5"/>
      <c r="D206" s="5"/>
      <c r="E206" s="5"/>
      <c r="F206" s="5"/>
      <c r="G206" s="5"/>
      <c r="H206" s="5"/>
      <c r="I206" s="5"/>
      <c r="J206" s="5"/>
    </row>
    <row r="207">
      <c r="A207" s="13"/>
      <c r="B207" s="5"/>
      <c r="C207" s="5"/>
      <c r="D207" s="5"/>
      <c r="E207" s="5"/>
      <c r="F207" s="5"/>
      <c r="G207" s="5"/>
      <c r="H207" s="5"/>
      <c r="I207" s="5"/>
      <c r="J207" s="5"/>
    </row>
    <row r="208">
      <c r="A208" s="13"/>
      <c r="B208" s="5"/>
      <c r="C208" s="5"/>
      <c r="D208" s="5"/>
      <c r="E208" s="5"/>
      <c r="F208" s="5"/>
      <c r="G208" s="5"/>
      <c r="H208" s="5"/>
      <c r="I208" s="5"/>
      <c r="J208" s="5"/>
    </row>
    <row r="209">
      <c r="A209" s="13"/>
      <c r="B209" s="5"/>
      <c r="C209" s="5"/>
      <c r="D209" s="5"/>
      <c r="E209" s="5"/>
      <c r="F209" s="5"/>
      <c r="G209" s="5"/>
      <c r="H209" s="5"/>
      <c r="I209" s="5"/>
      <c r="J209" s="5"/>
    </row>
    <row r="210">
      <c r="A210" s="13"/>
      <c r="B210" s="5"/>
      <c r="C210" s="5"/>
      <c r="D210" s="5"/>
      <c r="E210" s="5"/>
      <c r="F210" s="5"/>
      <c r="G210" s="5"/>
      <c r="H210" s="5"/>
      <c r="I210" s="5"/>
      <c r="J210" s="5"/>
    </row>
    <row r="211">
      <c r="A211" s="13"/>
      <c r="B211" s="5"/>
      <c r="C211" s="5"/>
      <c r="D211" s="5"/>
      <c r="E211" s="5"/>
      <c r="F211" s="5"/>
      <c r="G211" s="5"/>
      <c r="H211" s="5"/>
      <c r="I211" s="5"/>
      <c r="J211" s="5"/>
    </row>
    <row r="212">
      <c r="A212" s="13"/>
      <c r="B212" s="5"/>
      <c r="C212" s="5"/>
      <c r="D212" s="5"/>
      <c r="E212" s="5"/>
      <c r="F212" s="5"/>
      <c r="G212" s="5"/>
      <c r="H212" s="5"/>
      <c r="I212" s="5"/>
      <c r="J212" s="5"/>
    </row>
    <row r="213">
      <c r="A213" s="13"/>
      <c r="B213" s="5"/>
      <c r="C213" s="5"/>
      <c r="D213" s="5"/>
      <c r="E213" s="5"/>
      <c r="F213" s="5"/>
      <c r="G213" s="5"/>
      <c r="H213" s="5"/>
      <c r="I213" s="5"/>
      <c r="J213" s="5"/>
    </row>
    <row r="214">
      <c r="A214" s="13"/>
      <c r="B214" s="5"/>
      <c r="C214" s="5"/>
      <c r="D214" s="5"/>
      <c r="E214" s="5"/>
      <c r="F214" s="5"/>
      <c r="G214" s="5"/>
      <c r="H214" s="5"/>
      <c r="I214" s="5"/>
      <c r="J214" s="5"/>
    </row>
    <row r="215">
      <c r="A215" s="13"/>
      <c r="B215" s="5"/>
      <c r="C215" s="5"/>
      <c r="D215" s="5"/>
      <c r="E215" s="5"/>
      <c r="F215" s="5"/>
      <c r="G215" s="5"/>
      <c r="H215" s="5"/>
      <c r="I215" s="5"/>
      <c r="J215" s="5"/>
    </row>
    <row r="216">
      <c r="A216" s="13"/>
      <c r="B216" s="5"/>
      <c r="C216" s="5"/>
      <c r="D216" s="5"/>
      <c r="E216" s="5"/>
      <c r="F216" s="5"/>
      <c r="G216" s="5"/>
      <c r="H216" s="5"/>
      <c r="I216" s="5"/>
      <c r="J216" s="5"/>
    </row>
    <row r="217">
      <c r="A217" s="13"/>
      <c r="B217" s="5"/>
      <c r="C217" s="5"/>
      <c r="D217" s="5"/>
      <c r="E217" s="5"/>
      <c r="F217" s="5"/>
      <c r="G217" s="5"/>
      <c r="H217" s="5"/>
      <c r="I217" s="5"/>
      <c r="J217" s="5"/>
    </row>
    <row r="218">
      <c r="A218" s="13"/>
      <c r="B218" s="5"/>
      <c r="C218" s="5"/>
      <c r="D218" s="5"/>
      <c r="E218" s="5"/>
      <c r="F218" s="5"/>
      <c r="G218" s="5"/>
      <c r="H218" s="5"/>
      <c r="I218" s="5"/>
      <c r="J218" s="5"/>
    </row>
    <row r="219">
      <c r="A219" s="13"/>
      <c r="B219" s="5"/>
      <c r="C219" s="5"/>
      <c r="D219" s="5"/>
      <c r="E219" s="5"/>
      <c r="F219" s="5"/>
      <c r="G219" s="5"/>
      <c r="H219" s="5"/>
      <c r="I219" s="5"/>
      <c r="J219" s="5"/>
    </row>
    <row r="220">
      <c r="A220" s="13"/>
      <c r="B220" s="5"/>
      <c r="C220" s="5"/>
      <c r="D220" s="5"/>
      <c r="E220" s="5"/>
      <c r="F220" s="5"/>
      <c r="G220" s="5"/>
      <c r="H220" s="5"/>
      <c r="I220" s="5"/>
      <c r="J220" s="5"/>
    </row>
    <row r="221">
      <c r="A221" s="13"/>
      <c r="B221" s="5"/>
      <c r="C221" s="5"/>
      <c r="D221" s="5"/>
      <c r="E221" s="5"/>
      <c r="F221" s="5"/>
      <c r="G221" s="5"/>
      <c r="H221" s="5"/>
      <c r="I221" s="5"/>
      <c r="J221" s="5"/>
    </row>
    <row r="222">
      <c r="A222" s="13"/>
      <c r="B222" s="5"/>
      <c r="C222" s="5"/>
      <c r="D222" s="5"/>
      <c r="E222" s="5"/>
      <c r="F222" s="5"/>
      <c r="G222" s="5"/>
      <c r="H222" s="5"/>
      <c r="I222" s="5"/>
      <c r="J222" s="5"/>
    </row>
    <row r="223">
      <c r="A223" s="13"/>
      <c r="B223" s="5"/>
      <c r="C223" s="5"/>
      <c r="D223" s="5"/>
      <c r="E223" s="5"/>
      <c r="F223" s="5"/>
      <c r="G223" s="5"/>
      <c r="H223" s="5"/>
      <c r="I223" s="5"/>
      <c r="J223" s="5"/>
    </row>
    <row r="224">
      <c r="A224" s="13"/>
      <c r="B224" s="5"/>
      <c r="C224" s="5"/>
      <c r="D224" s="5"/>
      <c r="E224" s="5"/>
      <c r="F224" s="5"/>
      <c r="G224" s="5"/>
      <c r="H224" s="5"/>
      <c r="I224" s="5"/>
      <c r="J224" s="5"/>
    </row>
    <row r="225">
      <c r="A225" s="13"/>
      <c r="B225" s="5"/>
      <c r="C225" s="5"/>
      <c r="D225" s="5"/>
      <c r="E225" s="5"/>
      <c r="F225" s="5"/>
      <c r="G225" s="5"/>
      <c r="H225" s="5"/>
      <c r="I225" s="5"/>
      <c r="J225" s="5"/>
    </row>
    <row r="226">
      <c r="A226" s="13"/>
      <c r="B226" s="5"/>
      <c r="C226" s="5"/>
      <c r="D226" s="5"/>
      <c r="E226" s="5"/>
      <c r="F226" s="5"/>
      <c r="G226" s="5"/>
      <c r="H226" s="5"/>
      <c r="I226" s="5"/>
      <c r="J226" s="5"/>
    </row>
    <row r="227">
      <c r="A227" s="13"/>
      <c r="B227" s="5"/>
      <c r="C227" s="5"/>
      <c r="D227" s="5"/>
      <c r="E227" s="5"/>
      <c r="F227" s="5"/>
      <c r="G227" s="5"/>
      <c r="H227" s="5"/>
      <c r="I227" s="5"/>
      <c r="J227" s="5"/>
    </row>
    <row r="228">
      <c r="A228" s="13"/>
      <c r="B228" s="5"/>
      <c r="C228" s="5"/>
      <c r="D228" s="5"/>
      <c r="E228" s="5"/>
      <c r="F228" s="5"/>
      <c r="G228" s="5"/>
      <c r="H228" s="5"/>
      <c r="I228" s="5"/>
      <c r="J228" s="5"/>
    </row>
    <row r="229">
      <c r="A229" s="13"/>
      <c r="B229" s="5"/>
      <c r="C229" s="5"/>
      <c r="D229" s="5"/>
      <c r="E229" s="5"/>
      <c r="F229" s="5"/>
      <c r="G229" s="5"/>
      <c r="H229" s="5"/>
      <c r="I229" s="5"/>
      <c r="J229" s="5"/>
    </row>
    <row r="230">
      <c r="A230" s="13"/>
      <c r="B230" s="5"/>
      <c r="C230" s="5"/>
      <c r="D230" s="5"/>
      <c r="E230" s="5"/>
      <c r="F230" s="5"/>
      <c r="G230" s="5"/>
      <c r="H230" s="5"/>
      <c r="I230" s="5"/>
      <c r="J230" s="5"/>
    </row>
    <row r="231">
      <c r="A231" s="13"/>
      <c r="B231" s="5"/>
      <c r="C231" s="5"/>
      <c r="D231" s="5"/>
      <c r="E231" s="5"/>
      <c r="F231" s="5"/>
      <c r="G231" s="5"/>
      <c r="H231" s="5"/>
      <c r="I231" s="5"/>
      <c r="J231" s="5"/>
    </row>
    <row r="232">
      <c r="A232" s="13"/>
      <c r="B232" s="5"/>
      <c r="C232" s="5"/>
      <c r="D232" s="5"/>
      <c r="E232" s="5"/>
      <c r="F232" s="5"/>
      <c r="G232" s="5"/>
      <c r="H232" s="5"/>
      <c r="I232" s="5"/>
      <c r="J232" s="5"/>
    </row>
    <row r="233">
      <c r="A233" s="13"/>
      <c r="B233" s="5"/>
      <c r="C233" s="5"/>
      <c r="D233" s="5"/>
      <c r="E233" s="5"/>
      <c r="F233" s="5"/>
      <c r="G233" s="5"/>
      <c r="H233" s="5"/>
      <c r="I233" s="5"/>
      <c r="J233" s="5"/>
    </row>
    <row r="234">
      <c r="A234" s="13"/>
      <c r="B234" s="5"/>
      <c r="C234" s="5"/>
      <c r="D234" s="5"/>
      <c r="E234" s="5"/>
      <c r="F234" s="5"/>
      <c r="G234" s="5"/>
      <c r="H234" s="5"/>
      <c r="I234" s="5"/>
      <c r="J234" s="5"/>
    </row>
    <row r="235">
      <c r="A235" s="13"/>
      <c r="B235" s="5"/>
      <c r="C235" s="5"/>
      <c r="D235" s="5"/>
      <c r="E235" s="5"/>
      <c r="F235" s="5"/>
      <c r="G235" s="5"/>
      <c r="H235" s="5"/>
      <c r="I235" s="5"/>
      <c r="J235" s="5"/>
    </row>
    <row r="236">
      <c r="A236" s="13"/>
      <c r="B236" s="5"/>
      <c r="C236" s="5"/>
      <c r="D236" s="5"/>
      <c r="E236" s="5"/>
      <c r="F236" s="5"/>
      <c r="G236" s="5"/>
      <c r="H236" s="5"/>
      <c r="I236" s="5"/>
      <c r="J236" s="5"/>
    </row>
    <row r="237">
      <c r="A237" s="13"/>
      <c r="B237" s="5"/>
      <c r="C237" s="5"/>
      <c r="D237" s="5"/>
      <c r="E237" s="5"/>
      <c r="F237" s="5"/>
      <c r="G237" s="5"/>
      <c r="H237" s="5"/>
      <c r="I237" s="5"/>
      <c r="J237" s="5"/>
    </row>
    <row r="238">
      <c r="A238" s="13"/>
      <c r="B238" s="5"/>
      <c r="C238" s="5"/>
      <c r="D238" s="5"/>
      <c r="E238" s="5"/>
      <c r="F238" s="5"/>
      <c r="G238" s="5"/>
      <c r="H238" s="5"/>
      <c r="I238" s="5"/>
      <c r="J238" s="5"/>
    </row>
    <row r="239">
      <c r="A239" s="13"/>
      <c r="B239" s="5"/>
      <c r="C239" s="5"/>
      <c r="D239" s="5"/>
      <c r="E239" s="5"/>
      <c r="F239" s="5"/>
      <c r="G239" s="5"/>
      <c r="H239" s="5"/>
      <c r="I239" s="5"/>
      <c r="J239" s="5"/>
    </row>
    <row r="240">
      <c r="A240" s="13"/>
      <c r="B240" s="5"/>
      <c r="C240" s="5"/>
      <c r="D240" s="5"/>
      <c r="E240" s="5"/>
      <c r="F240" s="5"/>
      <c r="G240" s="5"/>
      <c r="H240" s="5"/>
      <c r="I240" s="5"/>
      <c r="J240" s="5"/>
    </row>
    <row r="241">
      <c r="A241" s="13"/>
      <c r="B241" s="5"/>
      <c r="C241" s="5"/>
      <c r="D241" s="5"/>
      <c r="E241" s="5"/>
      <c r="F241" s="5"/>
      <c r="G241" s="5"/>
      <c r="H241" s="5"/>
      <c r="I241" s="5"/>
      <c r="J241" s="5"/>
    </row>
    <row r="242">
      <c r="A242" s="13"/>
      <c r="B242" s="5"/>
      <c r="C242" s="5"/>
      <c r="D242" s="5"/>
      <c r="E242" s="5"/>
      <c r="F242" s="5"/>
      <c r="G242" s="5"/>
      <c r="H242" s="5"/>
      <c r="I242" s="5"/>
      <c r="J242" s="5"/>
    </row>
    <row r="243">
      <c r="A243" s="13"/>
      <c r="B243" s="5"/>
      <c r="C243" s="5"/>
      <c r="D243" s="5"/>
      <c r="E243" s="5"/>
      <c r="F243" s="5"/>
      <c r="G243" s="5"/>
      <c r="H243" s="5"/>
      <c r="I243" s="5"/>
      <c r="J243" s="5"/>
    </row>
    <row r="244">
      <c r="A244" s="13"/>
      <c r="B244" s="5"/>
      <c r="C244" s="5"/>
      <c r="D244" s="5"/>
      <c r="E244" s="5"/>
      <c r="F244" s="5"/>
      <c r="G244" s="5"/>
      <c r="H244" s="5"/>
      <c r="I244" s="5"/>
      <c r="J244" s="5"/>
    </row>
    <row r="245">
      <c r="A245" s="13"/>
      <c r="B245" s="5"/>
      <c r="C245" s="5"/>
      <c r="D245" s="5"/>
      <c r="E245" s="5"/>
      <c r="F245" s="5"/>
      <c r="G245" s="5"/>
      <c r="H245" s="5"/>
      <c r="I245" s="5"/>
      <c r="J245" s="5"/>
    </row>
    <row r="246">
      <c r="A246" s="13"/>
      <c r="B246" s="5"/>
      <c r="C246" s="5"/>
      <c r="D246" s="5"/>
      <c r="E246" s="5"/>
      <c r="F246" s="5"/>
      <c r="G246" s="5"/>
      <c r="H246" s="5"/>
      <c r="I246" s="5"/>
      <c r="J246" s="5"/>
    </row>
    <row r="247">
      <c r="A247" s="13"/>
      <c r="B247" s="5"/>
      <c r="C247" s="5"/>
      <c r="D247" s="5"/>
      <c r="E247" s="5"/>
      <c r="F247" s="5"/>
      <c r="G247" s="5"/>
      <c r="H247" s="5"/>
      <c r="I247" s="5"/>
      <c r="J247" s="5"/>
    </row>
    <row r="248">
      <c r="A248" s="13"/>
      <c r="B248" s="5"/>
      <c r="C248" s="5"/>
      <c r="D248" s="5"/>
      <c r="E248" s="5"/>
      <c r="F248" s="5"/>
      <c r="G248" s="5"/>
      <c r="H248" s="5"/>
      <c r="I248" s="5"/>
      <c r="J248" s="5"/>
    </row>
    <row r="249">
      <c r="A249" s="13"/>
      <c r="B249" s="5"/>
      <c r="C249" s="5"/>
      <c r="D249" s="5"/>
      <c r="E249" s="5"/>
      <c r="F249" s="5"/>
      <c r="G249" s="5"/>
      <c r="H249" s="5"/>
      <c r="I249" s="5"/>
      <c r="J249" s="5"/>
    </row>
    <row r="250">
      <c r="A250" s="13"/>
      <c r="B250" s="5"/>
      <c r="C250" s="5"/>
      <c r="D250" s="5"/>
      <c r="E250" s="5"/>
      <c r="F250" s="5"/>
      <c r="G250" s="5"/>
      <c r="H250" s="5"/>
      <c r="I250" s="5"/>
      <c r="J250" s="5"/>
    </row>
    <row r="251">
      <c r="A251" s="13"/>
      <c r="B251" s="5"/>
      <c r="C251" s="5"/>
      <c r="D251" s="5"/>
      <c r="E251" s="5"/>
      <c r="F251" s="5"/>
      <c r="G251" s="5"/>
      <c r="H251" s="5"/>
      <c r="I251" s="5"/>
      <c r="J251" s="5"/>
    </row>
    <row r="252">
      <c r="A252" s="13"/>
      <c r="B252" s="5"/>
      <c r="C252" s="5"/>
      <c r="D252" s="5"/>
      <c r="E252" s="5"/>
      <c r="F252" s="5"/>
      <c r="G252" s="5"/>
      <c r="H252" s="5"/>
      <c r="I252" s="5"/>
      <c r="J252" s="5"/>
    </row>
    <row r="253">
      <c r="A253" s="13"/>
      <c r="B253" s="5"/>
      <c r="C253" s="5"/>
      <c r="D253" s="5"/>
      <c r="E253" s="5"/>
      <c r="F253" s="5"/>
      <c r="G253" s="5"/>
      <c r="H253" s="5"/>
      <c r="I253" s="5"/>
      <c r="J253" s="5"/>
    </row>
    <row r="254">
      <c r="A254" s="13"/>
      <c r="B254" s="5"/>
      <c r="C254" s="5"/>
      <c r="D254" s="5"/>
      <c r="E254" s="5"/>
      <c r="F254" s="5"/>
      <c r="G254" s="5"/>
      <c r="H254" s="5"/>
      <c r="I254" s="5"/>
      <c r="J254" s="5"/>
    </row>
    <row r="255">
      <c r="A255" s="13"/>
      <c r="B255" s="5"/>
      <c r="C255" s="5"/>
      <c r="D255" s="5"/>
      <c r="E255" s="5"/>
      <c r="F255" s="5"/>
      <c r="G255" s="5"/>
      <c r="H255" s="5"/>
      <c r="I255" s="5"/>
      <c r="J255" s="5"/>
    </row>
    <row r="256">
      <c r="A256" s="13"/>
      <c r="B256" s="5"/>
      <c r="C256" s="5"/>
      <c r="D256" s="5"/>
      <c r="E256" s="5"/>
      <c r="F256" s="5"/>
      <c r="G256" s="5"/>
      <c r="H256" s="5"/>
      <c r="I256" s="5"/>
      <c r="J256" s="5"/>
    </row>
    <row r="257">
      <c r="A257" s="13"/>
      <c r="B257" s="5"/>
      <c r="C257" s="5"/>
      <c r="D257" s="5"/>
      <c r="E257" s="5"/>
      <c r="F257" s="5"/>
      <c r="G257" s="5"/>
      <c r="H257" s="5"/>
      <c r="I257" s="5"/>
      <c r="J257" s="5"/>
    </row>
    <row r="258">
      <c r="A258" s="13"/>
      <c r="B258" s="5"/>
      <c r="C258" s="5"/>
      <c r="D258" s="5"/>
      <c r="E258" s="5"/>
      <c r="F258" s="5"/>
      <c r="G258" s="5"/>
      <c r="H258" s="5"/>
      <c r="I258" s="5"/>
      <c r="J258" s="5"/>
    </row>
    <row r="259">
      <c r="A259" s="13"/>
      <c r="B259" s="5"/>
      <c r="C259" s="5"/>
      <c r="D259" s="5"/>
      <c r="E259" s="5"/>
      <c r="F259" s="5"/>
      <c r="G259" s="5"/>
      <c r="H259" s="5"/>
      <c r="I259" s="5"/>
      <c r="J259" s="5"/>
    </row>
    <row r="260">
      <c r="A260" s="13"/>
      <c r="B260" s="5"/>
      <c r="C260" s="5"/>
      <c r="D260" s="5"/>
      <c r="E260" s="5"/>
      <c r="F260" s="5"/>
      <c r="G260" s="5"/>
      <c r="H260" s="5"/>
      <c r="I260" s="5"/>
      <c r="J260" s="5"/>
    </row>
    <row r="261">
      <c r="A261" s="13"/>
      <c r="B261" s="5"/>
      <c r="C261" s="5"/>
      <c r="D261" s="5"/>
      <c r="E261" s="5"/>
      <c r="F261" s="5"/>
      <c r="G261" s="5"/>
      <c r="H261" s="5"/>
      <c r="I261" s="5"/>
      <c r="J261" s="5"/>
    </row>
    <row r="262">
      <c r="A262" s="13"/>
      <c r="B262" s="5"/>
      <c r="C262" s="5"/>
      <c r="D262" s="5"/>
      <c r="E262" s="5"/>
      <c r="F262" s="5"/>
      <c r="G262" s="5"/>
      <c r="H262" s="5"/>
      <c r="I262" s="5"/>
      <c r="J262" s="5"/>
    </row>
    <row r="263">
      <c r="A263" s="13"/>
      <c r="B263" s="5"/>
      <c r="C263" s="5"/>
      <c r="D263" s="5"/>
      <c r="E263" s="5"/>
      <c r="F263" s="5"/>
      <c r="G263" s="5"/>
      <c r="H263" s="5"/>
      <c r="I263" s="5"/>
      <c r="J263" s="5"/>
    </row>
    <row r="264">
      <c r="A264" s="13"/>
      <c r="B264" s="5"/>
      <c r="C264" s="5"/>
      <c r="D264" s="5"/>
      <c r="E264" s="5"/>
      <c r="F264" s="5"/>
      <c r="G264" s="5"/>
      <c r="H264" s="5"/>
      <c r="I264" s="5"/>
      <c r="J264" s="5"/>
    </row>
    <row r="265">
      <c r="A265" s="13"/>
      <c r="B265" s="5"/>
      <c r="C265" s="5"/>
      <c r="D265" s="5"/>
      <c r="E265" s="5"/>
      <c r="F265" s="5"/>
      <c r="G265" s="5"/>
      <c r="H265" s="5"/>
      <c r="I265" s="5"/>
      <c r="J265" s="5"/>
    </row>
    <row r="266">
      <c r="A266" s="13"/>
      <c r="B266" s="5"/>
      <c r="C266" s="5"/>
      <c r="D266" s="5"/>
      <c r="E266" s="5"/>
      <c r="F266" s="5"/>
      <c r="G266" s="5"/>
      <c r="H266" s="5"/>
      <c r="I266" s="5"/>
      <c r="J266" s="5"/>
    </row>
    <row r="267">
      <c r="A267" s="13"/>
      <c r="B267" s="5"/>
      <c r="C267" s="5"/>
      <c r="D267" s="5"/>
      <c r="E267" s="5"/>
      <c r="F267" s="5"/>
      <c r="G267" s="5"/>
      <c r="H267" s="5"/>
      <c r="I267" s="5"/>
      <c r="J267" s="5"/>
    </row>
    <row r="268">
      <c r="A268" s="13"/>
      <c r="B268" s="5"/>
      <c r="C268" s="5"/>
      <c r="D268" s="5"/>
      <c r="E268" s="5"/>
      <c r="F268" s="5"/>
      <c r="G268" s="5"/>
      <c r="H268" s="5"/>
      <c r="I268" s="5"/>
      <c r="J268" s="5"/>
    </row>
    <row r="269">
      <c r="A269" s="13"/>
      <c r="B269" s="5"/>
      <c r="C269" s="5"/>
      <c r="D269" s="5"/>
      <c r="E269" s="5"/>
      <c r="F269" s="5"/>
      <c r="G269" s="5"/>
      <c r="H269" s="5"/>
      <c r="I269" s="5"/>
      <c r="J269" s="5"/>
    </row>
    <row r="270">
      <c r="A270" s="13"/>
      <c r="B270" s="5"/>
      <c r="C270" s="5"/>
      <c r="D270" s="5"/>
      <c r="E270" s="5"/>
      <c r="F270" s="5"/>
      <c r="G270" s="5"/>
      <c r="H270" s="5"/>
      <c r="I270" s="5"/>
      <c r="J270" s="5"/>
    </row>
    <row r="271">
      <c r="A271" s="13"/>
      <c r="B271" s="5"/>
      <c r="C271" s="5"/>
      <c r="D271" s="5"/>
      <c r="E271" s="5"/>
      <c r="F271" s="5"/>
      <c r="G271" s="5"/>
      <c r="H271" s="5"/>
      <c r="I271" s="5"/>
      <c r="J271" s="5"/>
    </row>
    <row r="272">
      <c r="A272" s="13"/>
      <c r="B272" s="5"/>
      <c r="C272" s="5"/>
      <c r="D272" s="5"/>
      <c r="E272" s="5"/>
      <c r="F272" s="5"/>
      <c r="G272" s="5"/>
      <c r="H272" s="5"/>
      <c r="I272" s="5"/>
      <c r="J272" s="5"/>
    </row>
    <row r="273">
      <c r="A273" s="13"/>
      <c r="B273" s="5"/>
      <c r="C273" s="5"/>
      <c r="D273" s="5"/>
      <c r="E273" s="5"/>
      <c r="F273" s="5"/>
      <c r="G273" s="5"/>
      <c r="H273" s="5"/>
      <c r="I273" s="5"/>
      <c r="J273" s="5"/>
    </row>
    <row r="274">
      <c r="A274" s="13"/>
      <c r="B274" s="5"/>
      <c r="C274" s="5"/>
      <c r="D274" s="5"/>
      <c r="E274" s="5"/>
      <c r="F274" s="5"/>
      <c r="G274" s="5"/>
      <c r="H274" s="5"/>
      <c r="I274" s="5"/>
      <c r="J274" s="5"/>
    </row>
    <row r="275">
      <c r="A275" s="13"/>
      <c r="B275" s="5"/>
      <c r="C275" s="5"/>
      <c r="D275" s="5"/>
      <c r="E275" s="5"/>
      <c r="F275" s="5"/>
      <c r="G275" s="5"/>
      <c r="H275" s="5"/>
      <c r="I275" s="5"/>
      <c r="J275" s="5"/>
    </row>
    <row r="276">
      <c r="A276" s="13"/>
      <c r="B276" s="5"/>
      <c r="C276" s="5"/>
      <c r="D276" s="5"/>
      <c r="E276" s="5"/>
      <c r="F276" s="5"/>
      <c r="G276" s="5"/>
      <c r="H276" s="5"/>
      <c r="I276" s="5"/>
      <c r="J276" s="5"/>
    </row>
    <row r="277">
      <c r="A277" s="13"/>
      <c r="B277" s="5"/>
      <c r="C277" s="5"/>
      <c r="D277" s="5"/>
      <c r="E277" s="5"/>
      <c r="F277" s="5"/>
      <c r="G277" s="5"/>
      <c r="H277" s="5"/>
      <c r="I277" s="5"/>
      <c r="J277" s="5"/>
    </row>
    <row r="278">
      <c r="A278" s="13"/>
      <c r="B278" s="5"/>
      <c r="C278" s="5"/>
      <c r="D278" s="5"/>
      <c r="E278" s="5"/>
      <c r="F278" s="5"/>
      <c r="G278" s="5"/>
      <c r="H278" s="5"/>
      <c r="I278" s="5"/>
      <c r="J278" s="5"/>
    </row>
    <row r="279">
      <c r="A279" s="13"/>
      <c r="B279" s="5"/>
      <c r="C279" s="5"/>
      <c r="D279" s="5"/>
      <c r="E279" s="5"/>
      <c r="F279" s="5"/>
      <c r="G279" s="5"/>
      <c r="H279" s="5"/>
      <c r="I279" s="5"/>
      <c r="J279" s="5"/>
    </row>
    <row r="280">
      <c r="A280" s="13"/>
      <c r="B280" s="5"/>
      <c r="C280" s="5"/>
      <c r="D280" s="5"/>
      <c r="E280" s="5"/>
      <c r="F280" s="5"/>
      <c r="G280" s="5"/>
      <c r="H280" s="5"/>
      <c r="I280" s="5"/>
      <c r="J280" s="5"/>
    </row>
    <row r="281">
      <c r="A281" s="13"/>
      <c r="B281" s="5"/>
      <c r="C281" s="5"/>
      <c r="D281" s="5"/>
      <c r="E281" s="5"/>
      <c r="F281" s="5"/>
      <c r="G281" s="5"/>
      <c r="H281" s="5"/>
      <c r="I281" s="5"/>
      <c r="J281" s="5"/>
    </row>
    <row r="282">
      <c r="A282" s="13"/>
      <c r="B282" s="5"/>
      <c r="C282" s="5"/>
      <c r="D282" s="5"/>
      <c r="E282" s="5"/>
      <c r="F282" s="5"/>
      <c r="G282" s="5"/>
      <c r="H282" s="5"/>
      <c r="I282" s="5"/>
      <c r="J282" s="5"/>
    </row>
    <row r="283">
      <c r="A283" s="13"/>
      <c r="B283" s="5"/>
      <c r="C283" s="5"/>
      <c r="D283" s="5"/>
      <c r="E283" s="5"/>
      <c r="F283" s="5"/>
      <c r="G283" s="5"/>
      <c r="H283" s="5"/>
      <c r="I283" s="5"/>
      <c r="J283" s="5"/>
    </row>
    <row r="284">
      <c r="A284" s="13"/>
      <c r="B284" s="5"/>
      <c r="C284" s="5"/>
      <c r="D284" s="5"/>
      <c r="E284" s="5"/>
      <c r="F284" s="5"/>
      <c r="G284" s="5"/>
      <c r="H284" s="5"/>
      <c r="I284" s="5"/>
      <c r="J284" s="5"/>
    </row>
    <row r="285">
      <c r="A285" s="13"/>
      <c r="B285" s="5"/>
      <c r="C285" s="5"/>
      <c r="D285" s="5"/>
      <c r="E285" s="5"/>
      <c r="F285" s="5"/>
      <c r="G285" s="5"/>
      <c r="H285" s="5"/>
      <c r="I285" s="5"/>
      <c r="J285" s="5"/>
    </row>
    <row r="286">
      <c r="A286" s="13"/>
      <c r="B286" s="5"/>
      <c r="C286" s="5"/>
      <c r="D286" s="5"/>
      <c r="E286" s="5"/>
      <c r="F286" s="5"/>
      <c r="G286" s="5"/>
      <c r="H286" s="5"/>
      <c r="I286" s="5"/>
      <c r="J286" s="5"/>
    </row>
    <row r="287">
      <c r="A287" s="13"/>
      <c r="B287" s="5"/>
      <c r="C287" s="5"/>
      <c r="D287" s="5"/>
      <c r="E287" s="5"/>
      <c r="F287" s="5"/>
      <c r="G287" s="5"/>
      <c r="H287" s="5"/>
      <c r="I287" s="5"/>
      <c r="J287" s="5"/>
    </row>
    <row r="288">
      <c r="A288" s="13"/>
      <c r="B288" s="5"/>
      <c r="C288" s="5"/>
      <c r="D288" s="5"/>
      <c r="E288" s="5"/>
      <c r="F288" s="5"/>
      <c r="G288" s="5"/>
      <c r="H288" s="5"/>
      <c r="I288" s="5"/>
      <c r="J288" s="5"/>
    </row>
    <row r="289">
      <c r="A289" s="13"/>
      <c r="B289" s="5"/>
      <c r="C289" s="5"/>
      <c r="D289" s="5"/>
      <c r="E289" s="5"/>
      <c r="F289" s="5"/>
      <c r="G289" s="5"/>
      <c r="H289" s="5"/>
      <c r="I289" s="5"/>
      <c r="J289" s="5"/>
    </row>
    <row r="290">
      <c r="A290" s="13"/>
      <c r="B290" s="5"/>
      <c r="C290" s="5"/>
      <c r="D290" s="5"/>
      <c r="E290" s="5"/>
      <c r="F290" s="5"/>
      <c r="G290" s="5"/>
      <c r="H290" s="5"/>
      <c r="I290" s="5"/>
      <c r="J290" s="5"/>
    </row>
    <row r="291">
      <c r="A291" s="13"/>
      <c r="B291" s="5"/>
      <c r="C291" s="5"/>
      <c r="D291" s="5"/>
      <c r="E291" s="5"/>
      <c r="F291" s="5"/>
      <c r="G291" s="5"/>
      <c r="H291" s="5"/>
      <c r="I291" s="5"/>
      <c r="J291" s="5"/>
    </row>
    <row r="292">
      <c r="A292" s="13"/>
      <c r="B292" s="5"/>
      <c r="C292" s="5"/>
      <c r="D292" s="5"/>
      <c r="E292" s="5"/>
      <c r="F292" s="5"/>
      <c r="G292" s="5"/>
      <c r="H292" s="5"/>
      <c r="I292" s="5"/>
      <c r="J292" s="5"/>
    </row>
    <row r="293">
      <c r="A293" s="13"/>
      <c r="B293" s="5"/>
      <c r="C293" s="5"/>
      <c r="D293" s="5"/>
      <c r="E293" s="5"/>
      <c r="F293" s="5"/>
      <c r="G293" s="5"/>
      <c r="H293" s="5"/>
      <c r="I293" s="5"/>
      <c r="J293" s="5"/>
    </row>
    <row r="294">
      <c r="A294" s="13"/>
      <c r="B294" s="5"/>
      <c r="C294" s="5"/>
      <c r="D294" s="5"/>
      <c r="E294" s="5"/>
      <c r="F294" s="5"/>
      <c r="G294" s="5"/>
      <c r="H294" s="5"/>
      <c r="I294" s="5"/>
      <c r="J294" s="5"/>
    </row>
    <row r="295">
      <c r="A295" s="13"/>
      <c r="B295" s="5"/>
      <c r="C295" s="5"/>
      <c r="D295" s="5"/>
      <c r="E295" s="5"/>
      <c r="F295" s="5"/>
      <c r="G295" s="5"/>
      <c r="H295" s="5"/>
      <c r="I295" s="5"/>
      <c r="J295" s="5"/>
    </row>
    <row r="296">
      <c r="A296" s="13"/>
      <c r="B296" s="5"/>
      <c r="C296" s="5"/>
      <c r="D296" s="5"/>
      <c r="E296" s="5"/>
      <c r="F296" s="5"/>
      <c r="G296" s="5"/>
      <c r="H296" s="5"/>
      <c r="I296" s="5"/>
      <c r="J296" s="5"/>
    </row>
    <row r="297">
      <c r="A297" s="13"/>
      <c r="B297" s="5"/>
      <c r="C297" s="5"/>
      <c r="D297" s="5"/>
      <c r="E297" s="5"/>
      <c r="F297" s="5"/>
      <c r="G297" s="5"/>
      <c r="H297" s="5"/>
      <c r="I297" s="5"/>
      <c r="J297" s="5"/>
    </row>
    <row r="298">
      <c r="A298" s="13"/>
      <c r="B298" s="5"/>
      <c r="C298" s="5"/>
      <c r="D298" s="5"/>
      <c r="E298" s="5"/>
      <c r="F298" s="5"/>
      <c r="G298" s="5"/>
      <c r="H298" s="5"/>
      <c r="I298" s="5"/>
      <c r="J298" s="5"/>
    </row>
    <row r="299">
      <c r="A299" s="13"/>
      <c r="B299" s="5"/>
      <c r="C299" s="5"/>
      <c r="D299" s="5"/>
      <c r="E299" s="5"/>
      <c r="F299" s="5"/>
      <c r="G299" s="5"/>
      <c r="H299" s="5"/>
      <c r="I299" s="5"/>
      <c r="J299" s="5"/>
    </row>
    <row r="300">
      <c r="A300" s="13"/>
      <c r="B300" s="5"/>
      <c r="C300" s="5"/>
      <c r="D300" s="5"/>
      <c r="E300" s="5"/>
      <c r="F300" s="5"/>
      <c r="G300" s="5"/>
      <c r="H300" s="5"/>
      <c r="I300" s="5"/>
      <c r="J300" s="5"/>
    </row>
    <row r="301">
      <c r="A301" s="13"/>
      <c r="B301" s="5"/>
      <c r="C301" s="5"/>
      <c r="D301" s="5"/>
      <c r="E301" s="5"/>
      <c r="F301" s="5"/>
      <c r="G301" s="5"/>
      <c r="H301" s="5"/>
      <c r="I301" s="5"/>
      <c r="J301" s="5"/>
    </row>
    <row r="302">
      <c r="A302" s="13"/>
      <c r="B302" s="5"/>
      <c r="C302" s="5"/>
      <c r="D302" s="5"/>
      <c r="E302" s="5"/>
      <c r="F302" s="5"/>
      <c r="G302" s="5"/>
      <c r="H302" s="5"/>
      <c r="I302" s="5"/>
      <c r="J302" s="5"/>
    </row>
    <row r="303">
      <c r="A303" s="13"/>
      <c r="B303" s="5"/>
      <c r="C303" s="5"/>
      <c r="D303" s="5"/>
      <c r="E303" s="5"/>
      <c r="F303" s="5"/>
      <c r="G303" s="5"/>
      <c r="H303" s="5"/>
      <c r="I303" s="5"/>
      <c r="J303" s="5"/>
    </row>
    <row r="304">
      <c r="A304" s="13"/>
      <c r="B304" s="5"/>
      <c r="C304" s="5"/>
      <c r="D304" s="5"/>
      <c r="E304" s="5"/>
      <c r="F304" s="5"/>
      <c r="G304" s="5"/>
      <c r="H304" s="5"/>
      <c r="I304" s="5"/>
      <c r="J304" s="5"/>
    </row>
    <row r="305">
      <c r="A305" s="13"/>
      <c r="B305" s="5"/>
      <c r="C305" s="5"/>
      <c r="D305" s="5"/>
      <c r="E305" s="5"/>
      <c r="F305" s="5"/>
      <c r="G305" s="5"/>
      <c r="H305" s="5"/>
      <c r="I305" s="5"/>
      <c r="J305" s="5"/>
    </row>
    <row r="306">
      <c r="A306" s="13"/>
      <c r="B306" s="5"/>
      <c r="C306" s="5"/>
      <c r="D306" s="5"/>
      <c r="E306" s="5"/>
      <c r="F306" s="5"/>
      <c r="G306" s="5"/>
      <c r="H306" s="5"/>
      <c r="I306" s="5"/>
      <c r="J306" s="5"/>
    </row>
    <row r="307">
      <c r="A307" s="13"/>
      <c r="B307" s="5"/>
      <c r="C307" s="5"/>
      <c r="D307" s="5"/>
      <c r="E307" s="5"/>
      <c r="F307" s="5"/>
      <c r="G307" s="5"/>
      <c r="H307" s="5"/>
      <c r="I307" s="5"/>
      <c r="J307" s="5"/>
    </row>
    <row r="308">
      <c r="A308" s="13"/>
      <c r="B308" s="5"/>
      <c r="C308" s="5"/>
      <c r="D308" s="5"/>
      <c r="E308" s="5"/>
      <c r="F308" s="5"/>
      <c r="G308" s="5"/>
      <c r="H308" s="5"/>
      <c r="I308" s="5"/>
      <c r="J308" s="5"/>
    </row>
    <row r="309">
      <c r="A309" s="13"/>
      <c r="B309" s="5"/>
      <c r="C309" s="5"/>
      <c r="D309" s="5"/>
      <c r="E309" s="5"/>
      <c r="F309" s="5"/>
      <c r="G309" s="5"/>
      <c r="H309" s="5"/>
      <c r="I309" s="5"/>
      <c r="J309" s="5"/>
    </row>
    <row r="310">
      <c r="A310" s="13"/>
      <c r="B310" s="5"/>
      <c r="C310" s="5"/>
      <c r="D310" s="5"/>
      <c r="E310" s="5"/>
      <c r="F310" s="5"/>
      <c r="G310" s="5"/>
      <c r="H310" s="5"/>
      <c r="I310" s="5"/>
      <c r="J310" s="5"/>
    </row>
    <row r="311">
      <c r="A311" s="13"/>
      <c r="B311" s="5"/>
      <c r="C311" s="5"/>
      <c r="D311" s="5"/>
      <c r="E311" s="5"/>
      <c r="F311" s="5"/>
      <c r="G311" s="5"/>
      <c r="H311" s="5"/>
      <c r="I311" s="5"/>
      <c r="J311" s="5"/>
    </row>
    <row r="312">
      <c r="A312" s="13"/>
      <c r="B312" s="5"/>
      <c r="C312" s="5"/>
      <c r="D312" s="5"/>
      <c r="E312" s="5"/>
      <c r="F312" s="5"/>
      <c r="G312" s="5"/>
      <c r="H312" s="5"/>
      <c r="I312" s="5"/>
      <c r="J312" s="5"/>
    </row>
    <row r="313">
      <c r="A313" s="13"/>
      <c r="B313" s="5"/>
      <c r="C313" s="5"/>
      <c r="D313" s="5"/>
      <c r="E313" s="5"/>
      <c r="F313" s="5"/>
      <c r="G313" s="5"/>
      <c r="H313" s="5"/>
      <c r="I313" s="5"/>
      <c r="J313" s="5"/>
    </row>
    <row r="314">
      <c r="A314" s="13"/>
      <c r="B314" s="5"/>
      <c r="C314" s="5"/>
      <c r="D314" s="5"/>
      <c r="E314" s="5"/>
      <c r="F314" s="5"/>
      <c r="G314" s="5"/>
      <c r="H314" s="5"/>
      <c r="I314" s="5"/>
      <c r="J314" s="5"/>
    </row>
    <row r="315">
      <c r="A315" s="13"/>
      <c r="B315" s="5"/>
      <c r="C315" s="5"/>
      <c r="D315" s="5"/>
      <c r="E315" s="5"/>
      <c r="F315" s="5"/>
      <c r="G315" s="5"/>
      <c r="H315" s="5"/>
      <c r="I315" s="5"/>
      <c r="J315" s="5"/>
    </row>
    <row r="316">
      <c r="A316" s="13"/>
      <c r="B316" s="5"/>
      <c r="C316" s="5"/>
      <c r="D316" s="5"/>
      <c r="E316" s="5"/>
      <c r="F316" s="5"/>
      <c r="G316" s="5"/>
      <c r="H316" s="5"/>
      <c r="I316" s="5"/>
      <c r="J316" s="5"/>
    </row>
    <row r="317">
      <c r="A317" s="13"/>
      <c r="B317" s="5"/>
      <c r="C317" s="5"/>
      <c r="D317" s="5"/>
      <c r="E317" s="5"/>
      <c r="F317" s="5"/>
      <c r="G317" s="5"/>
      <c r="H317" s="5"/>
      <c r="I317" s="5"/>
      <c r="J317" s="5"/>
    </row>
    <row r="318">
      <c r="A318" s="13"/>
      <c r="B318" s="5"/>
      <c r="C318" s="5"/>
      <c r="D318" s="5"/>
      <c r="E318" s="5"/>
      <c r="F318" s="5"/>
      <c r="G318" s="5"/>
      <c r="H318" s="5"/>
      <c r="I318" s="5"/>
      <c r="J318" s="5"/>
    </row>
    <row r="319">
      <c r="A319" s="13"/>
      <c r="B319" s="5"/>
      <c r="C319" s="5"/>
      <c r="D319" s="5"/>
      <c r="E319" s="5"/>
      <c r="F319" s="5"/>
      <c r="G319" s="5"/>
      <c r="H319" s="5"/>
      <c r="I319" s="5"/>
      <c r="J319" s="5"/>
    </row>
    <row r="320">
      <c r="A320" s="13"/>
      <c r="B320" s="5"/>
      <c r="C320" s="5"/>
      <c r="D320" s="5"/>
      <c r="E320" s="5"/>
      <c r="F320" s="5"/>
      <c r="G320" s="5"/>
      <c r="H320" s="5"/>
      <c r="I320" s="5"/>
      <c r="J320" s="5"/>
    </row>
    <row r="321">
      <c r="A321" s="13"/>
      <c r="B321" s="5"/>
      <c r="C321" s="5"/>
      <c r="D321" s="5"/>
      <c r="E321" s="5"/>
      <c r="F321" s="5"/>
      <c r="G321" s="5"/>
      <c r="H321" s="5"/>
      <c r="I321" s="5"/>
      <c r="J321" s="5"/>
    </row>
    <row r="322">
      <c r="A322" s="13"/>
      <c r="B322" s="5"/>
      <c r="C322" s="5"/>
      <c r="D322" s="5"/>
      <c r="E322" s="5"/>
      <c r="F322" s="5"/>
      <c r="G322" s="5"/>
      <c r="H322" s="5"/>
      <c r="I322" s="5"/>
      <c r="J322" s="5"/>
    </row>
    <row r="323">
      <c r="A323" s="13"/>
      <c r="B323" s="5"/>
      <c r="C323" s="5"/>
      <c r="D323" s="5"/>
      <c r="E323" s="5"/>
      <c r="F323" s="5"/>
      <c r="G323" s="5"/>
      <c r="H323" s="5"/>
      <c r="I323" s="5"/>
      <c r="J323" s="5"/>
    </row>
    <row r="324">
      <c r="A324" s="13"/>
      <c r="B324" s="5"/>
      <c r="C324" s="5"/>
      <c r="D324" s="5"/>
      <c r="E324" s="5"/>
      <c r="F324" s="5"/>
      <c r="G324" s="5"/>
      <c r="H324" s="5"/>
      <c r="I324" s="5"/>
      <c r="J324" s="5"/>
    </row>
    <row r="325">
      <c r="A325" s="13"/>
      <c r="B325" s="5"/>
      <c r="C325" s="5"/>
      <c r="D325" s="5"/>
      <c r="E325" s="5"/>
      <c r="F325" s="5"/>
      <c r="G325" s="5"/>
      <c r="H325" s="5"/>
      <c r="I325" s="5"/>
      <c r="J325" s="5"/>
    </row>
    <row r="326">
      <c r="A326" s="13"/>
      <c r="B326" s="5"/>
      <c r="C326" s="5"/>
      <c r="D326" s="5"/>
      <c r="E326" s="5"/>
      <c r="F326" s="5"/>
      <c r="G326" s="5"/>
      <c r="H326" s="5"/>
      <c r="I326" s="5"/>
      <c r="J326" s="5"/>
    </row>
    <row r="327">
      <c r="A327" s="13"/>
      <c r="B327" s="5"/>
      <c r="C327" s="5"/>
      <c r="D327" s="5"/>
      <c r="E327" s="5"/>
      <c r="F327" s="5"/>
      <c r="G327" s="5"/>
      <c r="H327" s="5"/>
      <c r="I327" s="5"/>
      <c r="J327" s="5"/>
    </row>
    <row r="328">
      <c r="A328" s="13"/>
      <c r="B328" s="5"/>
      <c r="C328" s="5"/>
      <c r="D328" s="5"/>
      <c r="E328" s="5"/>
      <c r="F328" s="5"/>
      <c r="G328" s="5"/>
      <c r="H328" s="5"/>
      <c r="I328" s="5"/>
      <c r="J328" s="5"/>
    </row>
    <row r="329">
      <c r="A329" s="13"/>
      <c r="B329" s="5"/>
      <c r="C329" s="5"/>
      <c r="D329" s="5"/>
      <c r="E329" s="5"/>
      <c r="F329" s="5"/>
      <c r="G329" s="5"/>
      <c r="H329" s="5"/>
      <c r="I329" s="5"/>
      <c r="J329" s="5"/>
    </row>
    <row r="330">
      <c r="A330" s="13"/>
      <c r="B330" s="5"/>
      <c r="C330" s="5"/>
      <c r="D330" s="5"/>
      <c r="E330" s="5"/>
      <c r="F330" s="5"/>
      <c r="G330" s="5"/>
      <c r="H330" s="5"/>
      <c r="I330" s="5"/>
      <c r="J330" s="5"/>
    </row>
    <row r="331">
      <c r="A331" s="13"/>
      <c r="B331" s="5"/>
      <c r="C331" s="5"/>
      <c r="D331" s="5"/>
      <c r="E331" s="5"/>
      <c r="F331" s="5"/>
      <c r="G331" s="5"/>
      <c r="H331" s="5"/>
      <c r="I331" s="5"/>
      <c r="J331" s="5"/>
    </row>
    <row r="332">
      <c r="A332" s="13"/>
      <c r="B332" s="5"/>
      <c r="C332" s="5"/>
      <c r="D332" s="5"/>
      <c r="E332" s="5"/>
      <c r="F332" s="5"/>
      <c r="G332" s="5"/>
      <c r="H332" s="5"/>
      <c r="I332" s="5"/>
      <c r="J332" s="5"/>
    </row>
    <row r="333">
      <c r="A333" s="13"/>
      <c r="B333" s="5"/>
      <c r="C333" s="5"/>
      <c r="D333" s="5"/>
      <c r="E333" s="5"/>
      <c r="F333" s="5"/>
      <c r="G333" s="5"/>
      <c r="H333" s="5"/>
      <c r="I333" s="5"/>
      <c r="J333" s="5"/>
    </row>
    <row r="334">
      <c r="A334" s="13"/>
      <c r="B334" s="5"/>
      <c r="C334" s="5"/>
      <c r="D334" s="5"/>
      <c r="E334" s="5"/>
      <c r="F334" s="5"/>
      <c r="G334" s="5"/>
      <c r="H334" s="5"/>
      <c r="I334" s="5"/>
      <c r="J334" s="5"/>
    </row>
    <row r="335">
      <c r="A335" s="13"/>
      <c r="B335" s="5"/>
      <c r="C335" s="5"/>
      <c r="D335" s="5"/>
      <c r="E335" s="5"/>
      <c r="F335" s="5"/>
      <c r="G335" s="5"/>
      <c r="H335" s="5"/>
      <c r="I335" s="5"/>
      <c r="J335" s="5"/>
    </row>
    <row r="336">
      <c r="A336" s="13"/>
      <c r="B336" s="5"/>
      <c r="C336" s="5"/>
      <c r="D336" s="5"/>
      <c r="E336" s="5"/>
      <c r="F336" s="5"/>
      <c r="G336" s="5"/>
      <c r="H336" s="5"/>
      <c r="I336" s="5"/>
      <c r="J336" s="5"/>
    </row>
    <row r="337">
      <c r="A337" s="13"/>
      <c r="B337" s="5"/>
      <c r="C337" s="5"/>
      <c r="D337" s="5"/>
      <c r="E337" s="5"/>
      <c r="F337" s="5"/>
      <c r="G337" s="5"/>
      <c r="H337" s="5"/>
      <c r="I337" s="5"/>
      <c r="J337" s="5"/>
    </row>
    <row r="338">
      <c r="A338" s="13"/>
      <c r="B338" s="5"/>
      <c r="C338" s="5"/>
      <c r="D338" s="5"/>
      <c r="E338" s="5"/>
      <c r="F338" s="5"/>
      <c r="G338" s="5"/>
      <c r="H338" s="5"/>
      <c r="I338" s="5"/>
      <c r="J338" s="5"/>
    </row>
    <row r="339">
      <c r="A339" s="13"/>
      <c r="B339" s="5"/>
      <c r="C339" s="5"/>
      <c r="D339" s="5"/>
      <c r="E339" s="5"/>
      <c r="F339" s="5"/>
      <c r="G339" s="5"/>
      <c r="H339" s="5"/>
      <c r="I339" s="5"/>
      <c r="J339" s="5"/>
    </row>
    <row r="340">
      <c r="A340" s="13"/>
      <c r="B340" s="5"/>
      <c r="C340" s="5"/>
      <c r="D340" s="5"/>
      <c r="E340" s="5"/>
      <c r="F340" s="5"/>
      <c r="G340" s="5"/>
      <c r="H340" s="5"/>
      <c r="I340" s="5"/>
      <c r="J340" s="5"/>
    </row>
    <row r="341">
      <c r="A341" s="13"/>
      <c r="B341" s="5"/>
      <c r="C341" s="5"/>
      <c r="D341" s="5"/>
      <c r="E341" s="5"/>
      <c r="F341" s="5"/>
      <c r="G341" s="5"/>
      <c r="H341" s="5"/>
      <c r="I341" s="5"/>
      <c r="J341" s="5"/>
    </row>
    <row r="342">
      <c r="A342" s="13"/>
      <c r="B342" s="5"/>
      <c r="C342" s="5"/>
      <c r="D342" s="5"/>
      <c r="E342" s="5"/>
      <c r="F342" s="5"/>
      <c r="G342" s="5"/>
      <c r="H342" s="5"/>
      <c r="I342" s="5"/>
      <c r="J342" s="5"/>
    </row>
    <row r="343">
      <c r="A343" s="13"/>
      <c r="B343" s="5"/>
      <c r="C343" s="5"/>
      <c r="D343" s="5"/>
      <c r="E343" s="5"/>
      <c r="F343" s="5"/>
      <c r="G343" s="5"/>
      <c r="H343" s="5"/>
      <c r="I343" s="5"/>
      <c r="J343" s="5"/>
    </row>
    <row r="344">
      <c r="A344" s="13"/>
      <c r="B344" s="5"/>
      <c r="C344" s="5"/>
      <c r="D344" s="5"/>
      <c r="E344" s="5"/>
      <c r="F344" s="5"/>
      <c r="G344" s="5"/>
      <c r="H344" s="5"/>
      <c r="I344" s="5"/>
      <c r="J344" s="5"/>
    </row>
    <row r="345">
      <c r="A345" s="13"/>
      <c r="B345" s="5"/>
      <c r="C345" s="5"/>
      <c r="D345" s="5"/>
      <c r="E345" s="5"/>
      <c r="F345" s="5"/>
      <c r="G345" s="5"/>
      <c r="H345" s="5"/>
      <c r="I345" s="5"/>
      <c r="J345" s="5"/>
    </row>
    <row r="346">
      <c r="A346" s="13"/>
      <c r="B346" s="5"/>
      <c r="C346" s="5"/>
      <c r="D346" s="5"/>
      <c r="E346" s="5"/>
      <c r="F346" s="5"/>
      <c r="G346" s="5"/>
      <c r="H346" s="5"/>
      <c r="I346" s="5"/>
      <c r="J346" s="5"/>
    </row>
    <row r="347">
      <c r="A347" s="13"/>
      <c r="B347" s="5"/>
      <c r="C347" s="5"/>
      <c r="D347" s="5"/>
      <c r="E347" s="5"/>
      <c r="F347" s="5"/>
      <c r="G347" s="5"/>
      <c r="H347" s="5"/>
      <c r="I347" s="5"/>
      <c r="J347" s="5"/>
    </row>
    <row r="348">
      <c r="A348" s="13"/>
      <c r="B348" s="5"/>
      <c r="C348" s="5"/>
      <c r="D348" s="5"/>
      <c r="E348" s="5"/>
      <c r="F348" s="5"/>
      <c r="G348" s="5"/>
      <c r="H348" s="5"/>
      <c r="I348" s="5"/>
      <c r="J348" s="5"/>
    </row>
    <row r="349">
      <c r="A349" s="13"/>
      <c r="B349" s="5"/>
      <c r="C349" s="5"/>
      <c r="D349" s="5"/>
      <c r="E349" s="5"/>
      <c r="F349" s="5"/>
      <c r="G349" s="5"/>
      <c r="H349" s="5"/>
      <c r="I349" s="5"/>
      <c r="J349" s="5"/>
    </row>
    <row r="350">
      <c r="A350" s="13"/>
      <c r="B350" s="5"/>
      <c r="C350" s="5"/>
      <c r="D350" s="5"/>
      <c r="E350" s="5"/>
      <c r="F350" s="5"/>
      <c r="G350" s="5"/>
      <c r="H350" s="5"/>
      <c r="I350" s="5"/>
      <c r="J350" s="5"/>
    </row>
    <row r="351">
      <c r="A351" s="13"/>
      <c r="B351" s="5"/>
      <c r="C351" s="5"/>
      <c r="D351" s="5"/>
      <c r="E351" s="5"/>
      <c r="F351" s="5"/>
      <c r="G351" s="5"/>
      <c r="H351" s="5"/>
      <c r="I351" s="5"/>
      <c r="J351" s="5"/>
    </row>
    <row r="352">
      <c r="A352" s="13"/>
      <c r="B352" s="5"/>
      <c r="C352" s="5"/>
      <c r="D352" s="5"/>
      <c r="E352" s="5"/>
      <c r="F352" s="5"/>
      <c r="G352" s="5"/>
      <c r="H352" s="5"/>
      <c r="I352" s="5"/>
      <c r="J352" s="5"/>
    </row>
    <row r="353">
      <c r="A353" s="13"/>
      <c r="B353" s="5"/>
      <c r="C353" s="5"/>
      <c r="D353" s="5"/>
      <c r="E353" s="5"/>
      <c r="F353" s="5"/>
      <c r="G353" s="5"/>
      <c r="H353" s="5"/>
      <c r="I353" s="5"/>
      <c r="J353" s="5"/>
    </row>
    <row r="354">
      <c r="A354" s="13"/>
      <c r="B354" s="5"/>
      <c r="C354" s="5"/>
      <c r="D354" s="5"/>
      <c r="E354" s="5"/>
      <c r="F354" s="5"/>
      <c r="G354" s="5"/>
      <c r="H354" s="5"/>
      <c r="I354" s="5"/>
      <c r="J354" s="5"/>
    </row>
    <row r="355">
      <c r="A355" s="13"/>
      <c r="B355" s="5"/>
      <c r="C355" s="5"/>
      <c r="D355" s="5"/>
      <c r="E355" s="5"/>
      <c r="F355" s="5"/>
      <c r="G355" s="5"/>
      <c r="H355" s="5"/>
      <c r="I355" s="5"/>
      <c r="J355" s="5"/>
    </row>
    <row r="356">
      <c r="A356" s="13"/>
      <c r="B356" s="5"/>
      <c r="C356" s="5"/>
      <c r="D356" s="5"/>
      <c r="E356" s="5"/>
      <c r="F356" s="5"/>
      <c r="G356" s="5"/>
      <c r="H356" s="5"/>
      <c r="I356" s="5"/>
      <c r="J356" s="5"/>
    </row>
    <row r="357">
      <c r="A357" s="13"/>
      <c r="B357" s="5"/>
      <c r="C357" s="5"/>
      <c r="D357" s="5"/>
      <c r="E357" s="5"/>
      <c r="F357" s="5"/>
      <c r="G357" s="5"/>
      <c r="H357" s="5"/>
      <c r="I357" s="5"/>
      <c r="J357" s="5"/>
    </row>
    <row r="358">
      <c r="A358" s="13"/>
      <c r="B358" s="5"/>
      <c r="C358" s="5"/>
      <c r="D358" s="5"/>
      <c r="E358" s="5"/>
      <c r="F358" s="5"/>
      <c r="G358" s="5"/>
      <c r="H358" s="5"/>
      <c r="I358" s="5"/>
      <c r="J358" s="5"/>
    </row>
    <row r="359">
      <c r="A359" s="13"/>
      <c r="B359" s="5"/>
      <c r="C359" s="5"/>
      <c r="D359" s="5"/>
      <c r="E359" s="5"/>
      <c r="F359" s="5"/>
      <c r="G359" s="5"/>
      <c r="H359" s="5"/>
      <c r="I359" s="5"/>
      <c r="J359" s="5"/>
    </row>
    <row r="360">
      <c r="A360" s="13"/>
      <c r="B360" s="5"/>
      <c r="C360" s="5"/>
      <c r="D360" s="5"/>
      <c r="E360" s="5"/>
      <c r="F360" s="5"/>
      <c r="G360" s="5"/>
      <c r="H360" s="5"/>
      <c r="I360" s="5"/>
      <c r="J360" s="5"/>
    </row>
    <row r="361">
      <c r="A361" s="13"/>
      <c r="B361" s="5"/>
      <c r="C361" s="5"/>
      <c r="D361" s="5"/>
      <c r="E361" s="5"/>
      <c r="F361" s="5"/>
      <c r="G361" s="5"/>
      <c r="H361" s="5"/>
      <c r="I361" s="5"/>
      <c r="J361" s="5"/>
    </row>
    <row r="362">
      <c r="A362" s="13"/>
      <c r="B362" s="5"/>
      <c r="C362" s="5"/>
      <c r="D362" s="5"/>
      <c r="E362" s="5"/>
      <c r="F362" s="5"/>
      <c r="G362" s="5"/>
      <c r="H362" s="5"/>
      <c r="I362" s="5"/>
      <c r="J362" s="5"/>
    </row>
    <row r="363">
      <c r="A363" s="13"/>
      <c r="B363" s="5"/>
      <c r="C363" s="5"/>
      <c r="D363" s="5"/>
      <c r="E363" s="5"/>
      <c r="F363" s="5"/>
      <c r="G363" s="5"/>
      <c r="H363" s="5"/>
      <c r="I363" s="5"/>
      <c r="J363" s="5"/>
    </row>
    <row r="364">
      <c r="A364" s="13"/>
      <c r="B364" s="5"/>
      <c r="C364" s="5"/>
      <c r="D364" s="5"/>
      <c r="E364" s="5"/>
      <c r="F364" s="5"/>
      <c r="G364" s="5"/>
      <c r="H364" s="5"/>
      <c r="I364" s="5"/>
      <c r="J364" s="5"/>
    </row>
    <row r="365">
      <c r="A365" s="13"/>
      <c r="B365" s="5"/>
      <c r="C365" s="5"/>
      <c r="D365" s="5"/>
      <c r="E365" s="5"/>
      <c r="F365" s="5"/>
      <c r="G365" s="5"/>
      <c r="H365" s="5"/>
      <c r="I365" s="5"/>
      <c r="J365" s="5"/>
    </row>
    <row r="366">
      <c r="A366" s="13"/>
      <c r="B366" s="5"/>
      <c r="C366" s="5"/>
      <c r="D366" s="5"/>
      <c r="E366" s="5"/>
      <c r="F366" s="5"/>
      <c r="G366" s="5"/>
      <c r="H366" s="5"/>
      <c r="I366" s="5"/>
      <c r="J366" s="5"/>
    </row>
    <row r="367">
      <c r="A367" s="13"/>
      <c r="B367" s="5"/>
      <c r="C367" s="5"/>
      <c r="D367" s="5"/>
      <c r="E367" s="5"/>
      <c r="F367" s="5"/>
      <c r="G367" s="5"/>
      <c r="H367" s="5"/>
      <c r="I367" s="5"/>
      <c r="J367" s="5"/>
    </row>
    <row r="368">
      <c r="A368" s="13"/>
      <c r="B368" s="5"/>
      <c r="C368" s="5"/>
      <c r="D368" s="5"/>
      <c r="E368" s="5"/>
      <c r="F368" s="5"/>
      <c r="G368" s="5"/>
      <c r="H368" s="5"/>
      <c r="I368" s="5"/>
      <c r="J368" s="5"/>
    </row>
    <row r="369">
      <c r="A369" s="13"/>
      <c r="B369" s="5"/>
      <c r="C369" s="5"/>
      <c r="D369" s="5"/>
      <c r="E369" s="5"/>
      <c r="F369" s="5"/>
      <c r="G369" s="5"/>
      <c r="H369" s="5"/>
      <c r="I369" s="5"/>
      <c r="J369" s="5"/>
    </row>
    <row r="370">
      <c r="A370" s="13"/>
      <c r="B370" s="5"/>
      <c r="C370" s="5"/>
      <c r="D370" s="5"/>
      <c r="E370" s="5"/>
      <c r="F370" s="5"/>
      <c r="G370" s="5"/>
      <c r="H370" s="5"/>
      <c r="I370" s="5"/>
      <c r="J370" s="5"/>
    </row>
    <row r="371">
      <c r="A371" s="13"/>
      <c r="B371" s="5"/>
      <c r="C371" s="5"/>
      <c r="D371" s="5"/>
      <c r="E371" s="5"/>
      <c r="F371" s="5"/>
      <c r="G371" s="5"/>
      <c r="H371" s="5"/>
      <c r="I371" s="5"/>
      <c r="J371" s="5"/>
    </row>
    <row r="372">
      <c r="A372" s="13"/>
      <c r="B372" s="5"/>
      <c r="C372" s="5"/>
      <c r="D372" s="5"/>
      <c r="E372" s="5"/>
      <c r="F372" s="5"/>
      <c r="G372" s="5"/>
      <c r="H372" s="5"/>
      <c r="I372" s="5"/>
      <c r="J372" s="5"/>
    </row>
    <row r="373">
      <c r="A373" s="13"/>
      <c r="B373" s="5"/>
      <c r="C373" s="5"/>
      <c r="D373" s="5"/>
      <c r="E373" s="5"/>
      <c r="F373" s="5"/>
      <c r="G373" s="5"/>
      <c r="H373" s="5"/>
      <c r="I373" s="5"/>
      <c r="J373" s="5"/>
    </row>
    <row r="374">
      <c r="A374" s="13"/>
      <c r="B374" s="5"/>
      <c r="C374" s="5"/>
      <c r="D374" s="5"/>
      <c r="E374" s="5"/>
      <c r="F374" s="5"/>
      <c r="G374" s="5"/>
      <c r="H374" s="5"/>
      <c r="I374" s="5"/>
      <c r="J374" s="5"/>
    </row>
    <row r="375">
      <c r="A375" s="13"/>
      <c r="B375" s="5"/>
      <c r="C375" s="5"/>
      <c r="D375" s="5"/>
      <c r="E375" s="5"/>
      <c r="F375" s="5"/>
      <c r="G375" s="5"/>
      <c r="H375" s="5"/>
      <c r="I375" s="5"/>
      <c r="J375" s="5"/>
    </row>
    <row r="376">
      <c r="A376" s="13"/>
      <c r="B376" s="5"/>
      <c r="C376" s="5"/>
      <c r="D376" s="5"/>
      <c r="E376" s="5"/>
      <c r="F376" s="5"/>
      <c r="G376" s="5"/>
      <c r="H376" s="5"/>
      <c r="I376" s="5"/>
      <c r="J376" s="5"/>
    </row>
    <row r="377">
      <c r="A377" s="13"/>
      <c r="B377" s="5"/>
      <c r="C377" s="5"/>
      <c r="D377" s="5"/>
      <c r="E377" s="5"/>
      <c r="F377" s="5"/>
      <c r="G377" s="5"/>
      <c r="H377" s="5"/>
      <c r="I377" s="5"/>
      <c r="J377" s="5"/>
    </row>
    <row r="378">
      <c r="A378" s="13"/>
      <c r="B378" s="5"/>
      <c r="C378" s="5"/>
      <c r="D378" s="5"/>
      <c r="E378" s="5"/>
      <c r="F378" s="5"/>
      <c r="G378" s="5"/>
      <c r="H378" s="5"/>
      <c r="I378" s="5"/>
      <c r="J378" s="5"/>
    </row>
    <row r="379">
      <c r="A379" s="13"/>
      <c r="B379" s="5"/>
      <c r="C379" s="5"/>
      <c r="D379" s="5"/>
      <c r="E379" s="5"/>
      <c r="F379" s="5"/>
      <c r="G379" s="5"/>
      <c r="H379" s="5"/>
      <c r="I379" s="5"/>
      <c r="J379" s="5"/>
    </row>
    <row r="380">
      <c r="A380" s="13"/>
      <c r="B380" s="5"/>
      <c r="C380" s="5"/>
      <c r="D380" s="5"/>
      <c r="E380" s="5"/>
      <c r="F380" s="5"/>
      <c r="G380" s="5"/>
      <c r="H380" s="5"/>
      <c r="I380" s="5"/>
      <c r="J380" s="5"/>
    </row>
    <row r="381">
      <c r="A381" s="13"/>
      <c r="B381" s="5"/>
      <c r="C381" s="5"/>
      <c r="D381" s="5"/>
      <c r="E381" s="5"/>
      <c r="F381" s="5"/>
      <c r="G381" s="5"/>
      <c r="H381" s="5"/>
      <c r="I381" s="5"/>
      <c r="J381" s="5"/>
    </row>
    <row r="382">
      <c r="A382" s="13"/>
      <c r="B382" s="5"/>
      <c r="C382" s="5"/>
      <c r="D382" s="5"/>
      <c r="E382" s="5"/>
      <c r="F382" s="5"/>
      <c r="G382" s="5"/>
      <c r="H382" s="5"/>
      <c r="I382" s="5"/>
      <c r="J382" s="5"/>
    </row>
    <row r="383">
      <c r="A383" s="13"/>
      <c r="B383" s="5"/>
      <c r="C383" s="5"/>
      <c r="D383" s="5"/>
      <c r="E383" s="5"/>
      <c r="F383" s="5"/>
      <c r="G383" s="5"/>
      <c r="H383" s="5"/>
      <c r="I383" s="5"/>
      <c r="J383" s="5"/>
    </row>
    <row r="384">
      <c r="A384" s="13"/>
      <c r="B384" s="5"/>
      <c r="C384" s="5"/>
      <c r="D384" s="5"/>
      <c r="E384" s="5"/>
      <c r="F384" s="5"/>
      <c r="G384" s="5"/>
      <c r="H384" s="5"/>
      <c r="I384" s="5"/>
      <c r="J384" s="5"/>
    </row>
    <row r="385">
      <c r="A385" s="13"/>
      <c r="B385" s="5"/>
      <c r="C385" s="5"/>
      <c r="D385" s="5"/>
      <c r="E385" s="5"/>
      <c r="F385" s="5"/>
      <c r="G385" s="5"/>
      <c r="H385" s="5"/>
      <c r="I385" s="5"/>
      <c r="J385" s="5"/>
    </row>
    <row r="386">
      <c r="A386" s="13"/>
      <c r="B386" s="5"/>
      <c r="C386" s="5"/>
      <c r="D386" s="5"/>
      <c r="E386" s="5"/>
      <c r="F386" s="5"/>
      <c r="G386" s="5"/>
      <c r="H386" s="5"/>
      <c r="I386" s="5"/>
      <c r="J386" s="5"/>
    </row>
    <row r="387">
      <c r="A387" s="13"/>
      <c r="B387" s="5"/>
      <c r="C387" s="5"/>
      <c r="D387" s="5"/>
      <c r="E387" s="5"/>
      <c r="F387" s="5"/>
      <c r="G387" s="5"/>
      <c r="H387" s="5"/>
      <c r="I387" s="5"/>
      <c r="J387" s="5"/>
    </row>
    <row r="388">
      <c r="A388" s="13"/>
      <c r="B388" s="5"/>
      <c r="C388" s="5"/>
      <c r="D388" s="5"/>
      <c r="E388" s="5"/>
      <c r="F388" s="5"/>
      <c r="G388" s="5"/>
      <c r="H388" s="5"/>
      <c r="I388" s="5"/>
      <c r="J388" s="5"/>
    </row>
    <row r="389">
      <c r="A389" s="13"/>
      <c r="B389" s="5"/>
      <c r="C389" s="5"/>
      <c r="D389" s="5"/>
      <c r="E389" s="5"/>
      <c r="F389" s="5"/>
      <c r="G389" s="5"/>
      <c r="H389" s="5"/>
      <c r="I389" s="5"/>
      <c r="J389" s="5"/>
    </row>
    <row r="390">
      <c r="A390" s="13"/>
      <c r="B390" s="5"/>
      <c r="C390" s="5"/>
      <c r="D390" s="5"/>
      <c r="E390" s="5"/>
      <c r="F390" s="5"/>
      <c r="G390" s="5"/>
      <c r="H390" s="5"/>
      <c r="I390" s="5"/>
      <c r="J390" s="5"/>
    </row>
    <row r="391">
      <c r="A391" s="13"/>
      <c r="B391" s="5"/>
      <c r="C391" s="5"/>
      <c r="D391" s="5"/>
      <c r="E391" s="5"/>
      <c r="F391" s="5"/>
      <c r="G391" s="5"/>
      <c r="H391" s="5"/>
      <c r="I391" s="5"/>
      <c r="J391" s="5"/>
    </row>
    <row r="392">
      <c r="A392" s="13"/>
      <c r="B392" s="5"/>
      <c r="C392" s="5"/>
      <c r="D392" s="5"/>
      <c r="E392" s="5"/>
      <c r="F392" s="5"/>
      <c r="G392" s="5"/>
      <c r="H392" s="5"/>
      <c r="I392" s="5"/>
      <c r="J392" s="5"/>
    </row>
    <row r="393">
      <c r="A393" s="13"/>
      <c r="B393" s="5"/>
      <c r="C393" s="5"/>
      <c r="D393" s="5"/>
      <c r="E393" s="5"/>
      <c r="F393" s="5"/>
      <c r="G393" s="5"/>
      <c r="H393" s="5"/>
      <c r="I393" s="5"/>
      <c r="J393" s="5"/>
    </row>
    <row r="394">
      <c r="A394" s="13"/>
      <c r="B394" s="5"/>
      <c r="C394" s="5"/>
      <c r="D394" s="5"/>
      <c r="E394" s="5"/>
      <c r="F394" s="5"/>
      <c r="G394" s="5"/>
      <c r="H394" s="5"/>
      <c r="I394" s="5"/>
      <c r="J394" s="5"/>
    </row>
    <row r="395">
      <c r="A395" s="13"/>
      <c r="B395" s="5"/>
      <c r="C395" s="5"/>
      <c r="D395" s="5"/>
      <c r="E395" s="5"/>
      <c r="F395" s="5"/>
      <c r="G395" s="5"/>
      <c r="H395" s="5"/>
      <c r="I395" s="5"/>
      <c r="J395" s="5"/>
    </row>
    <row r="396">
      <c r="A396" s="13"/>
      <c r="B396" s="5"/>
      <c r="C396" s="5"/>
      <c r="D396" s="5"/>
      <c r="E396" s="5"/>
      <c r="F396" s="5"/>
      <c r="G396" s="5"/>
      <c r="H396" s="5"/>
      <c r="I396" s="5"/>
      <c r="J396" s="5"/>
    </row>
    <row r="397">
      <c r="A397" s="13"/>
      <c r="B397" s="5"/>
      <c r="C397" s="5"/>
      <c r="D397" s="5"/>
      <c r="E397" s="5"/>
      <c r="F397" s="5"/>
      <c r="G397" s="5"/>
      <c r="H397" s="5"/>
      <c r="I397" s="5"/>
      <c r="J397" s="5"/>
    </row>
    <row r="398">
      <c r="A398" s="13"/>
      <c r="B398" s="5"/>
      <c r="C398" s="5"/>
      <c r="D398" s="5"/>
      <c r="E398" s="5"/>
      <c r="F398" s="5"/>
      <c r="G398" s="5"/>
      <c r="H398" s="5"/>
      <c r="I398" s="5"/>
      <c r="J398" s="5"/>
    </row>
    <row r="399">
      <c r="A399" s="13"/>
      <c r="B399" s="5"/>
      <c r="C399" s="5"/>
      <c r="D399" s="5"/>
      <c r="E399" s="5"/>
      <c r="F399" s="5"/>
      <c r="G399" s="5"/>
      <c r="H399" s="5"/>
      <c r="I399" s="5"/>
      <c r="J399" s="5"/>
    </row>
    <row r="400">
      <c r="A400" s="13"/>
      <c r="B400" s="5"/>
      <c r="C400" s="5"/>
      <c r="D400" s="5"/>
      <c r="E400" s="5"/>
      <c r="F400" s="5"/>
      <c r="G400" s="5"/>
      <c r="H400" s="5"/>
      <c r="I400" s="5"/>
      <c r="J400" s="5"/>
    </row>
    <row r="401">
      <c r="A401" s="13"/>
      <c r="B401" s="5"/>
      <c r="C401" s="5"/>
      <c r="D401" s="5"/>
      <c r="E401" s="5"/>
      <c r="F401" s="5"/>
      <c r="G401" s="5"/>
      <c r="H401" s="5"/>
      <c r="I401" s="5"/>
      <c r="J401" s="5"/>
    </row>
    <row r="402">
      <c r="A402" s="13"/>
      <c r="B402" s="5"/>
      <c r="C402" s="5"/>
      <c r="D402" s="5"/>
      <c r="E402" s="5"/>
      <c r="F402" s="5"/>
      <c r="G402" s="5"/>
      <c r="H402" s="5"/>
      <c r="I402" s="5"/>
      <c r="J402" s="5"/>
    </row>
    <row r="403">
      <c r="A403" s="13"/>
      <c r="B403" s="5"/>
      <c r="C403" s="5"/>
      <c r="D403" s="5"/>
      <c r="E403" s="5"/>
      <c r="F403" s="5"/>
      <c r="G403" s="5"/>
      <c r="H403" s="5"/>
      <c r="I403" s="5"/>
      <c r="J403" s="5"/>
    </row>
    <row r="404">
      <c r="A404" s="13"/>
      <c r="B404" s="5"/>
      <c r="C404" s="5"/>
      <c r="D404" s="5"/>
      <c r="E404" s="5"/>
      <c r="F404" s="5"/>
      <c r="G404" s="5"/>
      <c r="H404" s="5"/>
      <c r="I404" s="5"/>
      <c r="J404" s="5"/>
    </row>
    <row r="405">
      <c r="A405" s="13"/>
      <c r="B405" s="5"/>
      <c r="C405" s="5"/>
      <c r="D405" s="5"/>
      <c r="E405" s="5"/>
      <c r="F405" s="5"/>
      <c r="G405" s="5"/>
      <c r="H405" s="5"/>
      <c r="I405" s="5"/>
      <c r="J405" s="5"/>
    </row>
    <row r="406">
      <c r="A406" s="13"/>
      <c r="B406" s="5"/>
      <c r="C406" s="5"/>
      <c r="D406" s="5"/>
      <c r="E406" s="5"/>
      <c r="F406" s="5"/>
      <c r="G406" s="5"/>
      <c r="H406" s="5"/>
      <c r="I406" s="5"/>
      <c r="J406" s="5"/>
    </row>
    <row r="407">
      <c r="A407" s="13"/>
      <c r="B407" s="5"/>
      <c r="C407" s="5"/>
      <c r="D407" s="5"/>
      <c r="E407" s="5"/>
      <c r="F407" s="5"/>
      <c r="G407" s="5"/>
      <c r="H407" s="5"/>
      <c r="I407" s="5"/>
      <c r="J407" s="5"/>
    </row>
    <row r="408">
      <c r="A408" s="13"/>
      <c r="B408" s="5"/>
      <c r="C408" s="5"/>
      <c r="D408" s="5"/>
      <c r="E408" s="5"/>
      <c r="F408" s="5"/>
      <c r="G408" s="5"/>
      <c r="H408" s="5"/>
      <c r="I408" s="5"/>
      <c r="J408" s="5"/>
    </row>
    <row r="409">
      <c r="A409" s="13"/>
      <c r="B409" s="5"/>
      <c r="C409" s="5"/>
      <c r="D409" s="5"/>
      <c r="E409" s="5"/>
      <c r="F409" s="5"/>
      <c r="G409" s="5"/>
      <c r="H409" s="5"/>
      <c r="I409" s="5"/>
      <c r="J409" s="5"/>
    </row>
    <row r="410">
      <c r="A410" s="13"/>
      <c r="B410" s="5"/>
      <c r="C410" s="5"/>
      <c r="D410" s="5"/>
      <c r="E410" s="5"/>
      <c r="F410" s="5"/>
      <c r="G410" s="5"/>
      <c r="H410" s="5"/>
      <c r="I410" s="5"/>
      <c r="J410" s="5"/>
    </row>
    <row r="411">
      <c r="A411" s="13"/>
      <c r="B411" s="5"/>
      <c r="C411" s="5"/>
      <c r="D411" s="5"/>
      <c r="E411" s="5"/>
      <c r="F411" s="5"/>
      <c r="G411" s="5"/>
      <c r="H411" s="5"/>
      <c r="I411" s="5"/>
      <c r="J411" s="5"/>
    </row>
    <row r="412">
      <c r="A412" s="13"/>
      <c r="B412" s="5"/>
      <c r="C412" s="5"/>
      <c r="D412" s="5"/>
      <c r="E412" s="5"/>
      <c r="F412" s="5"/>
      <c r="G412" s="5"/>
      <c r="H412" s="5"/>
      <c r="I412" s="5"/>
      <c r="J412" s="5"/>
    </row>
    <row r="413">
      <c r="A413" s="13"/>
      <c r="B413" s="5"/>
      <c r="C413" s="5"/>
      <c r="D413" s="5"/>
      <c r="E413" s="5"/>
      <c r="F413" s="5"/>
      <c r="G413" s="5"/>
      <c r="H413" s="5"/>
      <c r="I413" s="5"/>
      <c r="J413" s="5"/>
    </row>
    <row r="414">
      <c r="A414" s="13"/>
      <c r="B414" s="5"/>
      <c r="C414" s="5"/>
      <c r="D414" s="5"/>
      <c r="E414" s="5"/>
      <c r="F414" s="5"/>
      <c r="G414" s="5"/>
      <c r="H414" s="5"/>
      <c r="I414" s="5"/>
      <c r="J414" s="5"/>
    </row>
    <row r="415">
      <c r="A415" s="13"/>
      <c r="B415" s="5"/>
      <c r="C415" s="5"/>
      <c r="D415" s="5"/>
      <c r="E415" s="5"/>
      <c r="F415" s="5"/>
      <c r="G415" s="5"/>
      <c r="H415" s="5"/>
      <c r="I415" s="5"/>
      <c r="J415" s="5"/>
    </row>
    <row r="416">
      <c r="A416" s="13"/>
      <c r="B416" s="5"/>
      <c r="C416" s="5"/>
      <c r="D416" s="5"/>
      <c r="E416" s="5"/>
      <c r="F416" s="5"/>
      <c r="G416" s="5"/>
      <c r="H416" s="5"/>
      <c r="I416" s="5"/>
      <c r="J416" s="5"/>
    </row>
    <row r="417">
      <c r="A417" s="13"/>
      <c r="B417" s="5"/>
      <c r="C417" s="5"/>
      <c r="D417" s="5"/>
      <c r="E417" s="5"/>
      <c r="F417" s="5"/>
      <c r="G417" s="5"/>
      <c r="H417" s="5"/>
      <c r="I417" s="5"/>
      <c r="J417" s="5"/>
    </row>
    <row r="418">
      <c r="A418" s="13"/>
      <c r="B418" s="5"/>
      <c r="C418" s="5"/>
      <c r="D418" s="5"/>
      <c r="E418" s="5"/>
      <c r="F418" s="5"/>
      <c r="G418" s="5"/>
      <c r="H418" s="5"/>
      <c r="I418" s="5"/>
      <c r="J418" s="5"/>
    </row>
    <row r="419">
      <c r="A419" s="13"/>
      <c r="B419" s="5"/>
      <c r="C419" s="5"/>
      <c r="D419" s="5"/>
      <c r="E419" s="5"/>
      <c r="F419" s="5"/>
      <c r="G419" s="5"/>
      <c r="H419" s="5"/>
      <c r="I419" s="5"/>
      <c r="J419" s="5"/>
    </row>
    <row r="420">
      <c r="A420" s="13"/>
      <c r="B420" s="5"/>
      <c r="C420" s="5"/>
      <c r="D420" s="5"/>
      <c r="E420" s="5"/>
      <c r="F420" s="5"/>
      <c r="G420" s="5"/>
      <c r="H420" s="5"/>
      <c r="I420" s="5"/>
      <c r="J420" s="5"/>
    </row>
    <row r="421">
      <c r="A421" s="13"/>
      <c r="B421" s="5"/>
      <c r="C421" s="5"/>
      <c r="D421" s="5"/>
      <c r="E421" s="5"/>
      <c r="F421" s="5"/>
      <c r="G421" s="5"/>
      <c r="H421" s="5"/>
      <c r="I421" s="5"/>
      <c r="J421" s="5"/>
    </row>
    <row r="422">
      <c r="A422" s="13"/>
      <c r="B422" s="5"/>
      <c r="C422" s="5"/>
      <c r="D422" s="5"/>
      <c r="E422" s="5"/>
      <c r="F422" s="5"/>
      <c r="G422" s="5"/>
      <c r="H422" s="5"/>
      <c r="I422" s="5"/>
      <c r="J422" s="5"/>
    </row>
    <row r="423">
      <c r="A423" s="13"/>
      <c r="B423" s="5"/>
      <c r="C423" s="5"/>
      <c r="D423" s="5"/>
      <c r="E423" s="5"/>
      <c r="F423" s="5"/>
      <c r="G423" s="5"/>
      <c r="H423" s="5"/>
      <c r="I423" s="5"/>
      <c r="J423" s="5"/>
    </row>
    <row r="424">
      <c r="A424" s="13"/>
      <c r="B424" s="5"/>
      <c r="C424" s="5"/>
      <c r="D424" s="5"/>
      <c r="E424" s="5"/>
      <c r="F424" s="5"/>
      <c r="G424" s="5"/>
      <c r="H424" s="5"/>
      <c r="I424" s="5"/>
      <c r="J424" s="5"/>
    </row>
    <row r="425">
      <c r="A425" s="13"/>
      <c r="B425" s="5"/>
      <c r="C425" s="5"/>
      <c r="D425" s="5"/>
      <c r="E425" s="5"/>
      <c r="F425" s="5"/>
      <c r="G425" s="5"/>
      <c r="H425" s="5"/>
      <c r="I425" s="5"/>
      <c r="J425" s="5"/>
    </row>
    <row r="426">
      <c r="A426" s="13"/>
      <c r="B426" s="5"/>
      <c r="C426" s="5"/>
      <c r="D426" s="5"/>
      <c r="E426" s="5"/>
      <c r="F426" s="5"/>
      <c r="G426" s="5"/>
      <c r="H426" s="5"/>
      <c r="I426" s="5"/>
      <c r="J426" s="5"/>
    </row>
    <row r="427">
      <c r="A427" s="13"/>
      <c r="B427" s="5"/>
      <c r="C427" s="5"/>
      <c r="D427" s="5"/>
      <c r="E427" s="5"/>
      <c r="F427" s="5"/>
      <c r="G427" s="5"/>
      <c r="H427" s="5"/>
      <c r="I427" s="5"/>
      <c r="J427" s="5"/>
    </row>
    <row r="428">
      <c r="A428" s="13"/>
      <c r="B428" s="5"/>
      <c r="C428" s="5"/>
      <c r="D428" s="5"/>
      <c r="E428" s="5"/>
      <c r="F428" s="5"/>
      <c r="G428" s="5"/>
      <c r="H428" s="5"/>
      <c r="I428" s="5"/>
      <c r="J428" s="5"/>
    </row>
    <row r="429">
      <c r="A429" s="13"/>
      <c r="B429" s="5"/>
      <c r="C429" s="5"/>
      <c r="D429" s="5"/>
      <c r="E429" s="5"/>
      <c r="F429" s="5"/>
      <c r="G429" s="5"/>
      <c r="H429" s="5"/>
      <c r="I429" s="5"/>
      <c r="J429" s="5"/>
    </row>
    <row r="430">
      <c r="A430" s="13"/>
      <c r="B430" s="5"/>
      <c r="C430" s="5"/>
      <c r="D430" s="5"/>
      <c r="E430" s="5"/>
      <c r="F430" s="5"/>
      <c r="G430" s="5"/>
      <c r="H430" s="5"/>
      <c r="I430" s="5"/>
      <c r="J430" s="5"/>
    </row>
    <row r="431">
      <c r="A431" s="13"/>
      <c r="B431" s="5"/>
      <c r="C431" s="5"/>
      <c r="D431" s="5"/>
      <c r="E431" s="5"/>
      <c r="F431" s="5"/>
      <c r="G431" s="5"/>
      <c r="H431" s="5"/>
      <c r="I431" s="5"/>
      <c r="J431" s="5"/>
    </row>
    <row r="432">
      <c r="A432" s="13"/>
      <c r="B432" s="5"/>
      <c r="C432" s="5"/>
      <c r="D432" s="5"/>
      <c r="E432" s="5"/>
      <c r="F432" s="5"/>
      <c r="G432" s="5"/>
      <c r="H432" s="5"/>
      <c r="I432" s="5"/>
      <c r="J432" s="5"/>
    </row>
    <row r="433">
      <c r="A433" s="13"/>
      <c r="B433" s="5"/>
      <c r="C433" s="5"/>
      <c r="D433" s="5"/>
      <c r="E433" s="5"/>
      <c r="F433" s="5"/>
      <c r="G433" s="5"/>
      <c r="H433" s="5"/>
      <c r="I433" s="5"/>
      <c r="J433" s="5"/>
    </row>
    <row r="434">
      <c r="A434" s="13"/>
      <c r="B434" s="5"/>
      <c r="C434" s="5"/>
      <c r="D434" s="5"/>
      <c r="E434" s="5"/>
      <c r="F434" s="5"/>
      <c r="G434" s="5"/>
      <c r="H434" s="5"/>
      <c r="I434" s="5"/>
      <c r="J434" s="5"/>
    </row>
    <row r="435">
      <c r="A435" s="13"/>
      <c r="B435" s="5"/>
      <c r="C435" s="5"/>
      <c r="D435" s="5"/>
      <c r="E435" s="5"/>
      <c r="F435" s="5"/>
      <c r="G435" s="5"/>
      <c r="H435" s="5"/>
      <c r="I435" s="5"/>
      <c r="J435" s="5"/>
    </row>
    <row r="436">
      <c r="A436" s="13"/>
      <c r="B436" s="5"/>
      <c r="C436" s="5"/>
      <c r="D436" s="5"/>
      <c r="E436" s="5"/>
      <c r="F436" s="5"/>
      <c r="G436" s="5"/>
      <c r="H436" s="5"/>
      <c r="I436" s="5"/>
      <c r="J436" s="5"/>
    </row>
    <row r="437">
      <c r="A437" s="13"/>
      <c r="B437" s="5"/>
      <c r="C437" s="5"/>
      <c r="D437" s="5"/>
      <c r="E437" s="5"/>
      <c r="F437" s="5"/>
      <c r="G437" s="5"/>
      <c r="H437" s="5"/>
      <c r="I437" s="5"/>
      <c r="J437" s="5"/>
    </row>
    <row r="438">
      <c r="A438" s="13"/>
      <c r="B438" s="5"/>
      <c r="C438" s="5"/>
      <c r="D438" s="5"/>
      <c r="E438" s="5"/>
      <c r="F438" s="5"/>
      <c r="G438" s="5"/>
      <c r="H438" s="5"/>
      <c r="I438" s="5"/>
      <c r="J438" s="5"/>
    </row>
    <row r="439">
      <c r="A439" s="13"/>
      <c r="B439" s="5"/>
      <c r="C439" s="5"/>
      <c r="D439" s="5"/>
      <c r="E439" s="5"/>
      <c r="F439" s="5"/>
      <c r="G439" s="5"/>
      <c r="H439" s="5"/>
      <c r="I439" s="5"/>
      <c r="J439" s="5"/>
    </row>
    <row r="440">
      <c r="A440" s="13"/>
      <c r="B440" s="5"/>
      <c r="C440" s="5"/>
      <c r="D440" s="5"/>
      <c r="E440" s="5"/>
      <c r="F440" s="5"/>
      <c r="G440" s="5"/>
      <c r="H440" s="5"/>
      <c r="I440" s="5"/>
      <c r="J440" s="5"/>
    </row>
    <row r="441">
      <c r="A441" s="13"/>
      <c r="B441" s="5"/>
      <c r="C441" s="5"/>
      <c r="D441" s="5"/>
      <c r="E441" s="5"/>
      <c r="F441" s="5"/>
      <c r="G441" s="5"/>
      <c r="H441" s="5"/>
      <c r="I441" s="5"/>
      <c r="J441" s="5"/>
    </row>
    <row r="442">
      <c r="A442" s="13"/>
      <c r="B442" s="5"/>
      <c r="C442" s="5"/>
      <c r="D442" s="5"/>
      <c r="E442" s="5"/>
      <c r="F442" s="5"/>
      <c r="G442" s="5"/>
      <c r="H442" s="5"/>
      <c r="I442" s="5"/>
      <c r="J442" s="5"/>
    </row>
    <row r="443">
      <c r="A443" s="13"/>
      <c r="B443" s="5"/>
      <c r="C443" s="5"/>
      <c r="D443" s="5"/>
      <c r="E443" s="5"/>
      <c r="F443" s="5"/>
      <c r="G443" s="5"/>
      <c r="H443" s="5"/>
      <c r="I443" s="5"/>
      <c r="J443" s="5"/>
    </row>
    <row r="444">
      <c r="A444" s="13"/>
      <c r="B444" s="5"/>
      <c r="C444" s="5"/>
      <c r="D444" s="5"/>
      <c r="E444" s="5"/>
      <c r="F444" s="5"/>
      <c r="G444" s="5"/>
      <c r="H444" s="5"/>
      <c r="I444" s="5"/>
      <c r="J444" s="5"/>
    </row>
    <row r="445">
      <c r="A445" s="13"/>
      <c r="B445" s="5"/>
      <c r="C445" s="5"/>
      <c r="D445" s="5"/>
      <c r="E445" s="5"/>
      <c r="F445" s="5"/>
      <c r="G445" s="5"/>
      <c r="H445" s="5"/>
      <c r="I445" s="5"/>
      <c r="J445" s="5"/>
    </row>
    <row r="446">
      <c r="A446" s="13"/>
      <c r="B446" s="5"/>
      <c r="C446" s="5"/>
      <c r="D446" s="5"/>
      <c r="E446" s="5"/>
      <c r="F446" s="5"/>
      <c r="G446" s="5"/>
      <c r="H446" s="5"/>
      <c r="I446" s="5"/>
      <c r="J446" s="5"/>
    </row>
    <row r="447">
      <c r="A447" s="13"/>
      <c r="B447" s="5"/>
      <c r="C447" s="5"/>
      <c r="D447" s="5"/>
      <c r="E447" s="5"/>
      <c r="F447" s="5"/>
      <c r="G447" s="5"/>
      <c r="H447" s="5"/>
      <c r="I447" s="5"/>
      <c r="J447" s="5"/>
    </row>
    <row r="448">
      <c r="A448" s="13"/>
      <c r="B448" s="5"/>
      <c r="C448" s="5"/>
      <c r="D448" s="5"/>
      <c r="E448" s="5"/>
      <c r="F448" s="5"/>
      <c r="G448" s="5"/>
      <c r="H448" s="5"/>
      <c r="I448" s="5"/>
      <c r="J448" s="5"/>
    </row>
    <row r="449">
      <c r="A449" s="13"/>
      <c r="B449" s="5"/>
      <c r="C449" s="5"/>
      <c r="D449" s="5"/>
      <c r="E449" s="5"/>
      <c r="F449" s="5"/>
      <c r="G449" s="5"/>
      <c r="H449" s="5"/>
      <c r="I449" s="5"/>
      <c r="J449" s="5"/>
    </row>
    <row r="450">
      <c r="A450" s="13"/>
      <c r="B450" s="5"/>
      <c r="C450" s="5"/>
      <c r="D450" s="5"/>
      <c r="E450" s="5"/>
      <c r="F450" s="5"/>
      <c r="G450" s="5"/>
      <c r="H450" s="5"/>
      <c r="I450" s="5"/>
      <c r="J450" s="5"/>
    </row>
    <row r="451">
      <c r="A451" s="13"/>
      <c r="B451" s="5"/>
      <c r="C451" s="5"/>
      <c r="D451" s="5"/>
      <c r="E451" s="5"/>
      <c r="F451" s="5"/>
      <c r="G451" s="5"/>
      <c r="H451" s="5"/>
      <c r="I451" s="5"/>
      <c r="J451" s="5"/>
    </row>
    <row r="452">
      <c r="A452" s="13"/>
      <c r="B452" s="5"/>
      <c r="C452" s="5"/>
      <c r="D452" s="5"/>
      <c r="E452" s="5"/>
      <c r="F452" s="5"/>
      <c r="G452" s="5"/>
      <c r="H452" s="5"/>
      <c r="I452" s="5"/>
      <c r="J452" s="5"/>
    </row>
    <row r="453">
      <c r="A453" s="13"/>
      <c r="B453" s="5"/>
      <c r="C453" s="5"/>
      <c r="D453" s="5"/>
      <c r="E453" s="5"/>
      <c r="F453" s="5"/>
      <c r="G453" s="5"/>
      <c r="H453" s="5"/>
      <c r="I453" s="5"/>
      <c r="J453" s="5"/>
    </row>
    <row r="454">
      <c r="A454" s="13"/>
      <c r="B454" s="5"/>
      <c r="C454" s="5"/>
      <c r="D454" s="5"/>
      <c r="E454" s="5"/>
      <c r="F454" s="5"/>
      <c r="G454" s="5"/>
      <c r="H454" s="5"/>
      <c r="I454" s="5"/>
      <c r="J454" s="5"/>
    </row>
    <row r="455">
      <c r="A455" s="13"/>
      <c r="B455" s="5"/>
      <c r="C455" s="5"/>
      <c r="D455" s="5"/>
      <c r="E455" s="5"/>
      <c r="F455" s="5"/>
      <c r="G455" s="5"/>
      <c r="H455" s="5"/>
      <c r="I455" s="5"/>
      <c r="J455" s="5"/>
    </row>
    <row r="456">
      <c r="A456" s="13"/>
      <c r="B456" s="5"/>
      <c r="C456" s="5"/>
      <c r="D456" s="5"/>
      <c r="E456" s="5"/>
      <c r="F456" s="5"/>
      <c r="G456" s="5"/>
      <c r="H456" s="5"/>
      <c r="I456" s="5"/>
      <c r="J456" s="5"/>
    </row>
    <row r="457">
      <c r="A457" s="13"/>
      <c r="B457" s="5"/>
      <c r="C457" s="5"/>
      <c r="D457" s="5"/>
      <c r="E457" s="5"/>
      <c r="F457" s="5"/>
      <c r="G457" s="5"/>
      <c r="H457" s="5"/>
      <c r="I457" s="5"/>
      <c r="J457" s="5"/>
    </row>
    <row r="458">
      <c r="A458" s="13"/>
      <c r="B458" s="5"/>
      <c r="C458" s="5"/>
      <c r="D458" s="5"/>
      <c r="E458" s="5"/>
      <c r="F458" s="5"/>
      <c r="G458" s="5"/>
      <c r="H458" s="5"/>
      <c r="I458" s="5"/>
      <c r="J458" s="5"/>
    </row>
    <row r="459">
      <c r="A459" s="13"/>
      <c r="B459" s="5"/>
      <c r="C459" s="5"/>
      <c r="D459" s="5"/>
      <c r="E459" s="5"/>
      <c r="F459" s="5"/>
      <c r="G459" s="5"/>
      <c r="H459" s="5"/>
      <c r="I459" s="5"/>
      <c r="J459" s="5"/>
    </row>
    <row r="460">
      <c r="A460" s="13"/>
      <c r="B460" s="5"/>
      <c r="C460" s="5"/>
      <c r="D460" s="5"/>
      <c r="E460" s="5"/>
      <c r="F460" s="5"/>
      <c r="G460" s="5"/>
      <c r="H460" s="5"/>
      <c r="I460" s="5"/>
      <c r="J460" s="5"/>
    </row>
    <row r="461">
      <c r="A461" s="13"/>
      <c r="B461" s="5"/>
      <c r="C461" s="5"/>
      <c r="D461" s="5"/>
      <c r="E461" s="5"/>
      <c r="F461" s="5"/>
      <c r="G461" s="5"/>
      <c r="H461" s="5"/>
      <c r="I461" s="5"/>
      <c r="J461" s="5"/>
    </row>
    <row r="462">
      <c r="A462" s="13"/>
      <c r="B462" s="5"/>
      <c r="C462" s="5"/>
      <c r="D462" s="5"/>
      <c r="E462" s="5"/>
      <c r="F462" s="5"/>
      <c r="G462" s="5"/>
      <c r="H462" s="5"/>
      <c r="I462" s="5"/>
      <c r="J462" s="5"/>
    </row>
    <row r="463">
      <c r="A463" s="13"/>
      <c r="B463" s="5"/>
      <c r="C463" s="5"/>
      <c r="D463" s="5"/>
      <c r="E463" s="5"/>
      <c r="F463" s="5"/>
      <c r="G463" s="5"/>
      <c r="H463" s="5"/>
      <c r="I463" s="5"/>
      <c r="J463" s="5"/>
    </row>
    <row r="464">
      <c r="A464" s="13"/>
      <c r="B464" s="5"/>
      <c r="C464" s="5"/>
      <c r="D464" s="5"/>
      <c r="E464" s="5"/>
      <c r="F464" s="5"/>
      <c r="G464" s="5"/>
      <c r="H464" s="5"/>
      <c r="I464" s="5"/>
      <c r="J464" s="5"/>
    </row>
    <row r="465">
      <c r="A465" s="13"/>
      <c r="B465" s="5"/>
      <c r="C465" s="5"/>
      <c r="D465" s="5"/>
      <c r="E465" s="5"/>
      <c r="F465" s="5"/>
      <c r="G465" s="5"/>
      <c r="H465" s="5"/>
      <c r="I465" s="5"/>
      <c r="J465" s="5"/>
    </row>
    <row r="466">
      <c r="A466" s="13"/>
      <c r="B466" s="5"/>
      <c r="C466" s="5"/>
      <c r="D466" s="5"/>
      <c r="E466" s="5"/>
      <c r="F466" s="5"/>
      <c r="G466" s="5"/>
      <c r="H466" s="5"/>
      <c r="I466" s="5"/>
      <c r="J466" s="5"/>
    </row>
    <row r="467">
      <c r="A467" s="13"/>
      <c r="B467" s="5"/>
      <c r="C467" s="5"/>
      <c r="D467" s="5"/>
      <c r="E467" s="5"/>
      <c r="F467" s="5"/>
      <c r="G467" s="5"/>
      <c r="H467" s="5"/>
      <c r="I467" s="5"/>
      <c r="J467" s="5"/>
    </row>
    <row r="468">
      <c r="A468" s="13"/>
      <c r="B468" s="5"/>
      <c r="C468" s="5"/>
      <c r="D468" s="5"/>
      <c r="E468" s="5"/>
      <c r="F468" s="5"/>
      <c r="G468" s="5"/>
      <c r="H468" s="5"/>
      <c r="I468" s="5"/>
      <c r="J468" s="5"/>
    </row>
    <row r="469">
      <c r="A469" s="13"/>
      <c r="B469" s="5"/>
      <c r="C469" s="5"/>
      <c r="D469" s="5"/>
      <c r="E469" s="5"/>
      <c r="F469" s="5"/>
      <c r="G469" s="5"/>
      <c r="H469" s="5"/>
      <c r="I469" s="5"/>
      <c r="J469" s="5"/>
    </row>
    <row r="470">
      <c r="A470" s="13"/>
      <c r="B470" s="5"/>
      <c r="C470" s="5"/>
      <c r="D470" s="5"/>
      <c r="E470" s="5"/>
      <c r="F470" s="5"/>
      <c r="G470" s="5"/>
      <c r="H470" s="5"/>
      <c r="I470" s="5"/>
      <c r="J470" s="5"/>
    </row>
    <row r="471">
      <c r="A471" s="13"/>
      <c r="B471" s="5"/>
      <c r="C471" s="5"/>
      <c r="D471" s="5"/>
      <c r="E471" s="5"/>
      <c r="F471" s="5"/>
      <c r="G471" s="5"/>
      <c r="H471" s="5"/>
      <c r="I471" s="5"/>
      <c r="J471" s="5"/>
    </row>
    <row r="472">
      <c r="A472" s="13"/>
      <c r="B472" s="5"/>
      <c r="C472" s="5"/>
      <c r="D472" s="5"/>
      <c r="E472" s="5"/>
      <c r="F472" s="5"/>
      <c r="G472" s="5"/>
      <c r="H472" s="5"/>
      <c r="I472" s="5"/>
      <c r="J472" s="5"/>
    </row>
    <row r="473">
      <c r="A473" s="13"/>
      <c r="B473" s="5"/>
      <c r="C473" s="5"/>
      <c r="D473" s="5"/>
      <c r="E473" s="5"/>
      <c r="F473" s="5"/>
      <c r="G473" s="5"/>
      <c r="H473" s="5"/>
      <c r="I473" s="5"/>
      <c r="J473" s="5"/>
    </row>
    <row r="474">
      <c r="A474" s="13"/>
      <c r="B474" s="5"/>
      <c r="C474" s="5"/>
      <c r="D474" s="5"/>
      <c r="E474" s="5"/>
      <c r="F474" s="5"/>
      <c r="G474" s="5"/>
      <c r="H474" s="5"/>
      <c r="I474" s="5"/>
      <c r="J474" s="5"/>
    </row>
    <row r="475">
      <c r="A475" s="13"/>
      <c r="B475" s="5"/>
      <c r="C475" s="5"/>
      <c r="D475" s="5"/>
      <c r="E475" s="5"/>
      <c r="F475" s="5"/>
      <c r="G475" s="5"/>
      <c r="H475" s="5"/>
      <c r="I475" s="5"/>
      <c r="J475" s="5"/>
    </row>
    <row r="476">
      <c r="A476" s="13"/>
      <c r="B476" s="5"/>
      <c r="C476" s="5"/>
      <c r="D476" s="5"/>
      <c r="E476" s="5"/>
      <c r="F476" s="5"/>
      <c r="G476" s="5"/>
      <c r="H476" s="5"/>
      <c r="I476" s="5"/>
      <c r="J476" s="5"/>
    </row>
    <row r="477">
      <c r="A477" s="13"/>
      <c r="B477" s="5"/>
      <c r="C477" s="5"/>
      <c r="D477" s="5"/>
      <c r="E477" s="5"/>
      <c r="F477" s="5"/>
      <c r="G477" s="5"/>
      <c r="H477" s="5"/>
      <c r="I477" s="5"/>
      <c r="J477" s="5"/>
    </row>
    <row r="478">
      <c r="A478" s="13"/>
      <c r="B478" s="5"/>
      <c r="C478" s="5"/>
      <c r="D478" s="5"/>
      <c r="E478" s="5"/>
      <c r="F478" s="5"/>
      <c r="G478" s="5"/>
      <c r="H478" s="5"/>
      <c r="I478" s="5"/>
      <c r="J478" s="5"/>
    </row>
    <row r="479">
      <c r="A479" s="13"/>
      <c r="B479" s="5"/>
      <c r="C479" s="5"/>
      <c r="D479" s="5"/>
      <c r="E479" s="5"/>
      <c r="F479" s="5"/>
      <c r="G479" s="5"/>
      <c r="H479" s="5"/>
      <c r="I479" s="5"/>
      <c r="J479" s="5"/>
    </row>
    <row r="480">
      <c r="A480" s="13"/>
      <c r="B480" s="5"/>
      <c r="C480" s="5"/>
      <c r="D480" s="5"/>
      <c r="E480" s="5"/>
      <c r="F480" s="5"/>
      <c r="G480" s="5"/>
      <c r="H480" s="5"/>
      <c r="I480" s="5"/>
      <c r="J480" s="5"/>
    </row>
    <row r="481">
      <c r="A481" s="13"/>
      <c r="B481" s="5"/>
      <c r="C481" s="5"/>
      <c r="D481" s="5"/>
      <c r="E481" s="5"/>
      <c r="F481" s="5"/>
      <c r="G481" s="5"/>
      <c r="H481" s="5"/>
      <c r="I481" s="5"/>
      <c r="J481" s="5"/>
    </row>
    <row r="482">
      <c r="A482" s="13"/>
      <c r="B482" s="5"/>
      <c r="C482" s="5"/>
      <c r="D482" s="5"/>
      <c r="E482" s="5"/>
      <c r="F482" s="5"/>
      <c r="G482" s="5"/>
      <c r="H482" s="5"/>
      <c r="I482" s="5"/>
      <c r="J482" s="5"/>
    </row>
    <row r="483">
      <c r="A483" s="13"/>
      <c r="B483" s="5"/>
      <c r="C483" s="5"/>
      <c r="D483" s="5"/>
      <c r="E483" s="5"/>
      <c r="F483" s="5"/>
      <c r="G483" s="5"/>
      <c r="H483" s="5"/>
      <c r="I483" s="5"/>
      <c r="J483" s="5"/>
    </row>
    <row r="484">
      <c r="A484" s="13"/>
      <c r="B484" s="5"/>
      <c r="C484" s="5"/>
      <c r="D484" s="5"/>
      <c r="E484" s="5"/>
      <c r="F484" s="5"/>
      <c r="G484" s="5"/>
      <c r="H484" s="5"/>
      <c r="I484" s="5"/>
      <c r="J484" s="5"/>
    </row>
    <row r="485">
      <c r="A485" s="13"/>
      <c r="B485" s="5"/>
      <c r="C485" s="5"/>
      <c r="D485" s="5"/>
      <c r="E485" s="5"/>
      <c r="F485" s="5"/>
      <c r="G485" s="5"/>
      <c r="H485" s="5"/>
      <c r="I485" s="5"/>
      <c r="J485" s="5"/>
    </row>
    <row r="486">
      <c r="A486" s="13"/>
      <c r="B486" s="5"/>
      <c r="C486" s="5"/>
      <c r="D486" s="5"/>
      <c r="E486" s="5"/>
      <c r="F486" s="5"/>
      <c r="G486" s="5"/>
      <c r="H486" s="5"/>
      <c r="I486" s="5"/>
      <c r="J486" s="5"/>
    </row>
    <row r="487">
      <c r="A487" s="13"/>
      <c r="B487" s="5"/>
      <c r="C487" s="5"/>
      <c r="D487" s="5"/>
      <c r="E487" s="5"/>
      <c r="F487" s="5"/>
      <c r="G487" s="5"/>
      <c r="H487" s="5"/>
      <c r="I487" s="5"/>
      <c r="J487" s="5"/>
    </row>
    <row r="488">
      <c r="A488" s="13"/>
      <c r="B488" s="5"/>
      <c r="C488" s="5"/>
      <c r="D488" s="5"/>
      <c r="E488" s="5"/>
      <c r="F488" s="5"/>
      <c r="G488" s="5"/>
      <c r="H488" s="5"/>
      <c r="I488" s="5"/>
      <c r="J488" s="5"/>
    </row>
    <row r="489">
      <c r="A489" s="13"/>
      <c r="B489" s="5"/>
      <c r="C489" s="5"/>
      <c r="D489" s="5"/>
      <c r="E489" s="5"/>
      <c r="F489" s="5"/>
      <c r="G489" s="5"/>
      <c r="H489" s="5"/>
      <c r="I489" s="5"/>
      <c r="J489" s="5"/>
    </row>
    <row r="490">
      <c r="A490" s="13"/>
      <c r="B490" s="5"/>
      <c r="C490" s="5"/>
      <c r="D490" s="5"/>
      <c r="E490" s="5"/>
      <c r="F490" s="5"/>
      <c r="G490" s="5"/>
      <c r="H490" s="5"/>
      <c r="I490" s="5"/>
      <c r="J490" s="5"/>
    </row>
    <row r="491">
      <c r="A491" s="13"/>
      <c r="B491" s="5"/>
      <c r="C491" s="5"/>
      <c r="D491" s="5"/>
      <c r="E491" s="5"/>
      <c r="F491" s="5"/>
      <c r="G491" s="5"/>
      <c r="H491" s="5"/>
      <c r="I491" s="5"/>
      <c r="J491" s="5"/>
    </row>
    <row r="492">
      <c r="A492" s="13"/>
      <c r="B492" s="5"/>
      <c r="C492" s="5"/>
      <c r="D492" s="5"/>
      <c r="E492" s="5"/>
      <c r="F492" s="5"/>
      <c r="G492" s="5"/>
      <c r="H492" s="5"/>
      <c r="I492" s="5"/>
      <c r="J492" s="5"/>
    </row>
    <row r="493">
      <c r="A493" s="13"/>
      <c r="B493" s="5"/>
      <c r="C493" s="5"/>
      <c r="D493" s="5"/>
      <c r="E493" s="5"/>
      <c r="F493" s="5"/>
      <c r="G493" s="5"/>
      <c r="H493" s="5"/>
      <c r="I493" s="5"/>
      <c r="J493" s="5"/>
    </row>
    <row r="494">
      <c r="A494" s="13"/>
      <c r="B494" s="5"/>
      <c r="C494" s="5"/>
      <c r="D494" s="5"/>
      <c r="E494" s="5"/>
      <c r="F494" s="5"/>
      <c r="G494" s="5"/>
      <c r="H494" s="5"/>
      <c r="I494" s="5"/>
      <c r="J494" s="5"/>
    </row>
    <row r="495">
      <c r="A495" s="13"/>
      <c r="B495" s="5"/>
      <c r="C495" s="5"/>
      <c r="D495" s="5"/>
      <c r="E495" s="5"/>
      <c r="F495" s="5"/>
      <c r="G495" s="5"/>
      <c r="H495" s="5"/>
      <c r="I495" s="5"/>
      <c r="J495" s="5"/>
    </row>
    <row r="496">
      <c r="A496" s="13"/>
      <c r="B496" s="5"/>
      <c r="C496" s="5"/>
      <c r="D496" s="5"/>
      <c r="E496" s="5"/>
      <c r="F496" s="5"/>
      <c r="G496" s="5"/>
      <c r="H496" s="5"/>
      <c r="I496" s="5"/>
      <c r="J496" s="5"/>
    </row>
    <row r="497">
      <c r="A497" s="13"/>
      <c r="B497" s="5"/>
      <c r="C497" s="5"/>
      <c r="D497" s="5"/>
      <c r="E497" s="5"/>
      <c r="F497" s="5"/>
      <c r="G497" s="5"/>
      <c r="H497" s="5"/>
      <c r="I497" s="5"/>
      <c r="J497" s="5"/>
    </row>
    <row r="498">
      <c r="A498" s="13"/>
      <c r="B498" s="5"/>
      <c r="C498" s="5"/>
      <c r="D498" s="5"/>
      <c r="E498" s="5"/>
      <c r="F498" s="5"/>
      <c r="G498" s="5"/>
      <c r="H498" s="5"/>
      <c r="I498" s="5"/>
      <c r="J498" s="5"/>
    </row>
    <row r="499">
      <c r="A499" s="13"/>
      <c r="B499" s="5"/>
      <c r="C499" s="5"/>
      <c r="D499" s="5"/>
      <c r="E499" s="5"/>
      <c r="F499" s="5"/>
      <c r="G499" s="5"/>
      <c r="H499" s="5"/>
      <c r="I499" s="5"/>
      <c r="J499" s="5"/>
    </row>
    <row r="500">
      <c r="A500" s="13"/>
      <c r="B500" s="5"/>
      <c r="C500" s="5"/>
      <c r="D500" s="5"/>
      <c r="E500" s="5"/>
      <c r="F500" s="5"/>
      <c r="G500" s="5"/>
      <c r="H500" s="5"/>
      <c r="I500" s="5"/>
      <c r="J500" s="5"/>
    </row>
    <row r="501">
      <c r="A501" s="13"/>
      <c r="B501" s="5"/>
      <c r="C501" s="5"/>
      <c r="D501" s="5"/>
      <c r="E501" s="5"/>
      <c r="F501" s="5"/>
      <c r="G501" s="5"/>
      <c r="H501" s="5"/>
      <c r="I501" s="5"/>
      <c r="J501" s="5"/>
    </row>
    <row r="502">
      <c r="A502" s="13"/>
      <c r="B502" s="5"/>
      <c r="C502" s="5"/>
      <c r="D502" s="5"/>
      <c r="E502" s="5"/>
      <c r="F502" s="5"/>
      <c r="G502" s="5"/>
      <c r="H502" s="5"/>
      <c r="I502" s="5"/>
      <c r="J502" s="5"/>
    </row>
    <row r="503">
      <c r="A503" s="13"/>
      <c r="B503" s="5"/>
      <c r="C503" s="5"/>
      <c r="D503" s="5"/>
      <c r="E503" s="5"/>
      <c r="F503" s="5"/>
      <c r="G503" s="5"/>
      <c r="H503" s="5"/>
      <c r="I503" s="5"/>
      <c r="J503" s="5"/>
    </row>
    <row r="504">
      <c r="A504" s="13"/>
      <c r="B504" s="5"/>
      <c r="C504" s="5"/>
      <c r="D504" s="5"/>
      <c r="E504" s="5"/>
      <c r="F504" s="5"/>
      <c r="G504" s="5"/>
      <c r="H504" s="5"/>
      <c r="I504" s="5"/>
      <c r="J504" s="5"/>
    </row>
    <row r="505">
      <c r="A505" s="13"/>
      <c r="B505" s="5"/>
      <c r="C505" s="5"/>
      <c r="D505" s="5"/>
      <c r="E505" s="5"/>
      <c r="F505" s="5"/>
      <c r="G505" s="5"/>
      <c r="H505" s="5"/>
      <c r="I505" s="5"/>
      <c r="J505" s="5"/>
    </row>
    <row r="506">
      <c r="A506" s="13"/>
      <c r="B506" s="5"/>
      <c r="C506" s="5"/>
      <c r="D506" s="5"/>
      <c r="E506" s="5"/>
      <c r="F506" s="5"/>
      <c r="G506" s="5"/>
      <c r="H506" s="5"/>
      <c r="I506" s="5"/>
      <c r="J506" s="5"/>
    </row>
    <row r="507">
      <c r="A507" s="13"/>
      <c r="B507" s="5"/>
      <c r="C507" s="5"/>
      <c r="D507" s="5"/>
      <c r="E507" s="5"/>
      <c r="F507" s="5"/>
      <c r="G507" s="5"/>
      <c r="H507" s="5"/>
      <c r="I507" s="5"/>
      <c r="J507" s="5"/>
    </row>
    <row r="508">
      <c r="A508" s="13"/>
      <c r="B508" s="5"/>
      <c r="C508" s="5"/>
      <c r="D508" s="5"/>
      <c r="E508" s="5"/>
      <c r="F508" s="5"/>
      <c r="G508" s="5"/>
      <c r="H508" s="5"/>
      <c r="I508" s="5"/>
      <c r="J508" s="5"/>
    </row>
    <row r="509">
      <c r="A509" s="13"/>
      <c r="B509" s="5"/>
      <c r="C509" s="5"/>
      <c r="D509" s="5"/>
      <c r="E509" s="5"/>
      <c r="F509" s="5"/>
      <c r="G509" s="5"/>
      <c r="H509" s="5"/>
      <c r="I509" s="5"/>
      <c r="J509" s="5"/>
    </row>
    <row r="510">
      <c r="A510" s="13"/>
      <c r="B510" s="5"/>
      <c r="C510" s="5"/>
      <c r="D510" s="5"/>
      <c r="E510" s="5"/>
      <c r="F510" s="5"/>
      <c r="G510" s="5"/>
      <c r="H510" s="5"/>
      <c r="I510" s="5"/>
      <c r="J510" s="5"/>
    </row>
    <row r="511">
      <c r="A511" s="13"/>
      <c r="B511" s="5"/>
      <c r="C511" s="5"/>
      <c r="D511" s="5"/>
      <c r="E511" s="5"/>
      <c r="F511" s="5"/>
      <c r="G511" s="5"/>
      <c r="H511" s="5"/>
      <c r="I511" s="5"/>
      <c r="J511" s="5"/>
    </row>
    <row r="512">
      <c r="A512" s="13"/>
      <c r="B512" s="5"/>
      <c r="C512" s="5"/>
      <c r="D512" s="5"/>
      <c r="E512" s="5"/>
      <c r="F512" s="5"/>
      <c r="G512" s="5"/>
      <c r="H512" s="5"/>
      <c r="I512" s="5"/>
      <c r="J512" s="5"/>
    </row>
    <row r="513">
      <c r="A513" s="13"/>
      <c r="B513" s="5"/>
      <c r="C513" s="5"/>
      <c r="D513" s="5"/>
      <c r="E513" s="5"/>
      <c r="F513" s="5"/>
      <c r="G513" s="5"/>
      <c r="H513" s="5"/>
      <c r="I513" s="5"/>
      <c r="J513" s="5"/>
    </row>
    <row r="514">
      <c r="A514" s="13"/>
      <c r="B514" s="5"/>
      <c r="C514" s="5"/>
      <c r="D514" s="5"/>
      <c r="E514" s="5"/>
      <c r="F514" s="5"/>
      <c r="G514" s="5"/>
      <c r="H514" s="5"/>
      <c r="I514" s="5"/>
      <c r="J514" s="5"/>
    </row>
    <row r="515">
      <c r="A515" s="13"/>
      <c r="B515" s="5"/>
      <c r="C515" s="5"/>
      <c r="D515" s="5"/>
      <c r="E515" s="5"/>
      <c r="F515" s="5"/>
      <c r="G515" s="5"/>
      <c r="H515" s="5"/>
      <c r="I515" s="5"/>
      <c r="J515" s="5"/>
    </row>
    <row r="516">
      <c r="A516" s="13"/>
      <c r="B516" s="5"/>
      <c r="C516" s="5"/>
      <c r="D516" s="5"/>
      <c r="E516" s="5"/>
      <c r="F516" s="5"/>
      <c r="G516" s="5"/>
      <c r="H516" s="5"/>
      <c r="I516" s="5"/>
      <c r="J516" s="5"/>
    </row>
    <row r="517">
      <c r="A517" s="13"/>
      <c r="B517" s="5"/>
      <c r="C517" s="5"/>
      <c r="D517" s="5"/>
      <c r="E517" s="5"/>
      <c r="F517" s="5"/>
      <c r="G517" s="5"/>
      <c r="H517" s="5"/>
      <c r="I517" s="5"/>
      <c r="J517" s="5"/>
    </row>
    <row r="518">
      <c r="A518" s="13"/>
      <c r="B518" s="5"/>
      <c r="C518" s="5"/>
      <c r="D518" s="5"/>
      <c r="E518" s="5"/>
      <c r="F518" s="5"/>
      <c r="G518" s="5"/>
      <c r="H518" s="5"/>
      <c r="I518" s="5"/>
      <c r="J518" s="5"/>
    </row>
    <row r="519">
      <c r="A519" s="13"/>
      <c r="B519" s="5"/>
      <c r="C519" s="5"/>
      <c r="D519" s="5"/>
      <c r="E519" s="5"/>
      <c r="F519" s="5"/>
      <c r="G519" s="5"/>
      <c r="H519" s="5"/>
      <c r="I519" s="5"/>
      <c r="J519" s="5"/>
    </row>
    <row r="520">
      <c r="A520" s="13"/>
      <c r="B520" s="5"/>
      <c r="C520" s="5"/>
      <c r="D520" s="5"/>
      <c r="E520" s="5"/>
      <c r="F520" s="5"/>
      <c r="G520" s="5"/>
      <c r="H520" s="5"/>
      <c r="I520" s="5"/>
      <c r="J520" s="5"/>
    </row>
    <row r="521">
      <c r="A521" s="13"/>
      <c r="B521" s="5"/>
      <c r="C521" s="5"/>
      <c r="D521" s="5"/>
      <c r="E521" s="5"/>
      <c r="F521" s="5"/>
      <c r="G521" s="5"/>
      <c r="H521" s="5"/>
      <c r="I521" s="5"/>
      <c r="J521" s="5"/>
    </row>
    <row r="522">
      <c r="A522" s="13"/>
      <c r="B522" s="5"/>
      <c r="C522" s="5"/>
      <c r="D522" s="5"/>
      <c r="E522" s="5"/>
      <c r="F522" s="5"/>
      <c r="G522" s="5"/>
      <c r="H522" s="5"/>
      <c r="I522" s="5"/>
      <c r="J522" s="5"/>
    </row>
    <row r="523">
      <c r="A523" s="13"/>
      <c r="B523" s="5"/>
      <c r="C523" s="5"/>
      <c r="D523" s="5"/>
      <c r="E523" s="5"/>
      <c r="F523" s="5"/>
      <c r="G523" s="5"/>
      <c r="H523" s="5"/>
      <c r="I523" s="5"/>
      <c r="J523" s="5"/>
    </row>
    <row r="524">
      <c r="A524" s="13"/>
      <c r="B524" s="5"/>
      <c r="C524" s="5"/>
      <c r="D524" s="5"/>
      <c r="E524" s="5"/>
      <c r="F524" s="5"/>
      <c r="G524" s="5"/>
      <c r="H524" s="5"/>
      <c r="I524" s="5"/>
      <c r="J524" s="5"/>
    </row>
    <row r="525">
      <c r="A525" s="13"/>
      <c r="B525" s="5"/>
      <c r="C525" s="5"/>
      <c r="D525" s="5"/>
      <c r="E525" s="5"/>
      <c r="F525" s="5"/>
      <c r="G525" s="5"/>
      <c r="H525" s="5"/>
      <c r="I525" s="5"/>
      <c r="J525" s="5"/>
    </row>
    <row r="526">
      <c r="A526" s="13"/>
      <c r="B526" s="5"/>
      <c r="C526" s="5"/>
      <c r="D526" s="5"/>
      <c r="E526" s="5"/>
      <c r="F526" s="5"/>
      <c r="G526" s="5"/>
      <c r="H526" s="5"/>
      <c r="I526" s="5"/>
      <c r="J526" s="5"/>
    </row>
    <row r="527">
      <c r="A527" s="13"/>
      <c r="B527" s="5"/>
      <c r="C527" s="5"/>
      <c r="D527" s="5"/>
      <c r="E527" s="5"/>
      <c r="F527" s="5"/>
      <c r="G527" s="5"/>
      <c r="H527" s="5"/>
      <c r="I527" s="5"/>
      <c r="J527" s="5"/>
    </row>
    <row r="528">
      <c r="A528" s="13"/>
      <c r="B528" s="5"/>
      <c r="C528" s="5"/>
      <c r="D528" s="5"/>
      <c r="E528" s="5"/>
      <c r="F528" s="5"/>
      <c r="G528" s="5"/>
      <c r="H528" s="5"/>
      <c r="I528" s="5"/>
      <c r="J528" s="5"/>
    </row>
    <row r="529">
      <c r="A529" s="13"/>
      <c r="B529" s="5"/>
      <c r="C529" s="5"/>
      <c r="D529" s="5"/>
      <c r="E529" s="5"/>
      <c r="F529" s="5"/>
      <c r="G529" s="5"/>
      <c r="H529" s="5"/>
      <c r="I529" s="5"/>
      <c r="J529" s="5"/>
    </row>
    <row r="530">
      <c r="A530" s="13"/>
      <c r="B530" s="5"/>
      <c r="C530" s="5"/>
      <c r="D530" s="5"/>
      <c r="E530" s="5"/>
      <c r="F530" s="5"/>
      <c r="G530" s="5"/>
      <c r="H530" s="5"/>
      <c r="I530" s="5"/>
      <c r="J530" s="5"/>
    </row>
    <row r="531">
      <c r="A531" s="13"/>
      <c r="B531" s="5"/>
      <c r="C531" s="5"/>
      <c r="D531" s="5"/>
      <c r="E531" s="5"/>
      <c r="F531" s="5"/>
      <c r="G531" s="5"/>
      <c r="H531" s="5"/>
      <c r="I531" s="5"/>
      <c r="J531" s="5"/>
    </row>
    <row r="532">
      <c r="A532" s="13"/>
      <c r="B532" s="5"/>
      <c r="C532" s="5"/>
      <c r="D532" s="5"/>
      <c r="E532" s="5"/>
      <c r="F532" s="5"/>
      <c r="G532" s="5"/>
      <c r="H532" s="5"/>
      <c r="I532" s="5"/>
      <c r="J532" s="5"/>
    </row>
    <row r="533">
      <c r="A533" s="13"/>
      <c r="B533" s="5"/>
      <c r="C533" s="5"/>
      <c r="D533" s="5"/>
      <c r="E533" s="5"/>
      <c r="F533" s="5"/>
      <c r="G533" s="5"/>
      <c r="H533" s="5"/>
      <c r="I533" s="5"/>
      <c r="J533" s="5"/>
    </row>
    <row r="534">
      <c r="A534" s="13"/>
      <c r="B534" s="5"/>
      <c r="C534" s="5"/>
      <c r="D534" s="5"/>
      <c r="E534" s="5"/>
      <c r="F534" s="5"/>
      <c r="G534" s="5"/>
      <c r="H534" s="5"/>
      <c r="I534" s="5"/>
      <c r="J534" s="5"/>
    </row>
    <row r="535">
      <c r="A535" s="13"/>
      <c r="B535" s="5"/>
      <c r="C535" s="5"/>
      <c r="D535" s="5"/>
      <c r="E535" s="5"/>
      <c r="F535" s="5"/>
      <c r="G535" s="5"/>
      <c r="H535" s="5"/>
      <c r="I535" s="5"/>
      <c r="J535" s="5"/>
    </row>
    <row r="536">
      <c r="A536" s="13"/>
      <c r="B536" s="5"/>
      <c r="C536" s="5"/>
      <c r="D536" s="5"/>
      <c r="E536" s="5"/>
      <c r="F536" s="5"/>
      <c r="G536" s="5"/>
      <c r="H536" s="5"/>
      <c r="I536" s="5"/>
      <c r="J536" s="5"/>
    </row>
    <row r="537">
      <c r="A537" s="13"/>
      <c r="B537" s="5"/>
      <c r="C537" s="5"/>
      <c r="D537" s="5"/>
      <c r="E537" s="5"/>
      <c r="F537" s="5"/>
      <c r="G537" s="5"/>
      <c r="H537" s="5"/>
      <c r="I537" s="5"/>
      <c r="J537" s="5"/>
    </row>
    <row r="538">
      <c r="A538" s="13"/>
      <c r="B538" s="5"/>
      <c r="C538" s="5"/>
      <c r="D538" s="5"/>
      <c r="E538" s="5"/>
      <c r="F538" s="5"/>
      <c r="G538" s="5"/>
      <c r="H538" s="5"/>
      <c r="I538" s="5"/>
      <c r="J538" s="5"/>
    </row>
    <row r="539">
      <c r="A539" s="13"/>
      <c r="B539" s="5"/>
      <c r="C539" s="5"/>
      <c r="D539" s="5"/>
      <c r="E539" s="5"/>
      <c r="F539" s="5"/>
      <c r="G539" s="5"/>
      <c r="H539" s="5"/>
      <c r="I539" s="5"/>
      <c r="J539" s="5"/>
    </row>
    <row r="540">
      <c r="A540" s="13"/>
      <c r="B540" s="5"/>
      <c r="C540" s="5"/>
      <c r="D540" s="5"/>
      <c r="E540" s="5"/>
      <c r="F540" s="5"/>
      <c r="G540" s="5"/>
      <c r="H540" s="5"/>
      <c r="I540" s="5"/>
      <c r="J540" s="5"/>
    </row>
    <row r="541">
      <c r="A541" s="13"/>
      <c r="B541" s="5"/>
      <c r="C541" s="5"/>
      <c r="D541" s="5"/>
      <c r="E541" s="5"/>
      <c r="F541" s="5"/>
      <c r="G541" s="5"/>
      <c r="H541" s="5"/>
      <c r="I541" s="5"/>
      <c r="J541" s="5"/>
    </row>
    <row r="542">
      <c r="A542" s="13"/>
      <c r="B542" s="5"/>
      <c r="C542" s="5"/>
      <c r="D542" s="5"/>
      <c r="E542" s="5"/>
      <c r="F542" s="5"/>
      <c r="G542" s="5"/>
      <c r="H542" s="5"/>
      <c r="I542" s="5"/>
      <c r="J542" s="5"/>
    </row>
    <row r="543">
      <c r="A543" s="13"/>
      <c r="B543" s="5"/>
      <c r="C543" s="5"/>
      <c r="D543" s="5"/>
      <c r="E543" s="5"/>
      <c r="F543" s="5"/>
      <c r="G543" s="5"/>
      <c r="H543" s="5"/>
      <c r="I543" s="5"/>
      <c r="J543" s="5"/>
    </row>
    <row r="544">
      <c r="A544" s="13"/>
      <c r="B544" s="5"/>
      <c r="C544" s="5"/>
      <c r="D544" s="5"/>
      <c r="E544" s="5"/>
      <c r="F544" s="5"/>
      <c r="G544" s="5"/>
      <c r="H544" s="5"/>
      <c r="I544" s="5"/>
      <c r="J544" s="5"/>
    </row>
    <row r="545">
      <c r="A545" s="13"/>
      <c r="B545" s="5"/>
      <c r="C545" s="5"/>
      <c r="D545" s="5"/>
      <c r="E545" s="5"/>
      <c r="F545" s="5"/>
      <c r="G545" s="5"/>
      <c r="H545" s="5"/>
      <c r="I545" s="5"/>
      <c r="J545" s="5"/>
    </row>
    <row r="546">
      <c r="A546" s="13"/>
      <c r="B546" s="5"/>
      <c r="C546" s="5"/>
      <c r="D546" s="5"/>
      <c r="E546" s="5"/>
      <c r="F546" s="5"/>
      <c r="G546" s="5"/>
      <c r="H546" s="5"/>
      <c r="I546" s="5"/>
      <c r="J546" s="5"/>
    </row>
    <row r="547">
      <c r="A547" s="13"/>
      <c r="B547" s="5"/>
      <c r="C547" s="5"/>
      <c r="D547" s="5"/>
      <c r="E547" s="5"/>
      <c r="F547" s="5"/>
      <c r="G547" s="5"/>
      <c r="H547" s="5"/>
      <c r="I547" s="5"/>
      <c r="J547" s="5"/>
    </row>
    <row r="548">
      <c r="A548" s="13"/>
      <c r="B548" s="5"/>
      <c r="C548" s="5"/>
      <c r="D548" s="5"/>
      <c r="E548" s="5"/>
      <c r="F548" s="5"/>
      <c r="G548" s="5"/>
      <c r="H548" s="5"/>
      <c r="I548" s="5"/>
      <c r="J548" s="5"/>
    </row>
    <row r="549">
      <c r="A549" s="13"/>
      <c r="B549" s="5"/>
      <c r="C549" s="5"/>
      <c r="D549" s="5"/>
      <c r="E549" s="5"/>
      <c r="F549" s="5"/>
      <c r="G549" s="5"/>
      <c r="H549" s="5"/>
      <c r="I549" s="5"/>
      <c r="J549" s="5"/>
    </row>
    <row r="550">
      <c r="A550" s="13"/>
      <c r="B550" s="5"/>
      <c r="C550" s="5"/>
      <c r="D550" s="5"/>
      <c r="E550" s="5"/>
      <c r="F550" s="5"/>
      <c r="G550" s="5"/>
      <c r="H550" s="5"/>
      <c r="I550" s="5"/>
      <c r="J550" s="5"/>
    </row>
    <row r="551">
      <c r="A551" s="13"/>
      <c r="B551" s="5"/>
      <c r="C551" s="5"/>
      <c r="D551" s="5"/>
      <c r="E551" s="5"/>
      <c r="F551" s="5"/>
      <c r="G551" s="5"/>
      <c r="H551" s="5"/>
      <c r="I551" s="5"/>
      <c r="J551" s="5"/>
    </row>
    <row r="552">
      <c r="A552" s="13"/>
      <c r="B552" s="5"/>
      <c r="C552" s="5"/>
      <c r="D552" s="5"/>
      <c r="E552" s="5"/>
      <c r="F552" s="5"/>
      <c r="G552" s="5"/>
      <c r="H552" s="5"/>
      <c r="I552" s="5"/>
      <c r="J552" s="5"/>
    </row>
    <row r="553">
      <c r="A553" s="13"/>
      <c r="B553" s="5"/>
      <c r="C553" s="5"/>
      <c r="D553" s="5"/>
      <c r="E553" s="5"/>
      <c r="F553" s="5"/>
      <c r="G553" s="5"/>
      <c r="H553" s="5"/>
      <c r="I553" s="5"/>
      <c r="J553" s="5"/>
    </row>
    <row r="554">
      <c r="A554" s="13"/>
      <c r="B554" s="5"/>
      <c r="C554" s="5"/>
      <c r="D554" s="5"/>
      <c r="E554" s="5"/>
      <c r="F554" s="5"/>
      <c r="G554" s="5"/>
      <c r="H554" s="5"/>
      <c r="I554" s="5"/>
      <c r="J554" s="5"/>
    </row>
    <row r="555">
      <c r="A555" s="13"/>
      <c r="B555" s="5"/>
      <c r="C555" s="5"/>
      <c r="D555" s="5"/>
      <c r="E555" s="5"/>
      <c r="F555" s="5"/>
      <c r="G555" s="5"/>
      <c r="H555" s="5"/>
      <c r="I555" s="5"/>
      <c r="J555" s="5"/>
    </row>
    <row r="556">
      <c r="A556" s="13"/>
      <c r="B556" s="5"/>
      <c r="C556" s="5"/>
      <c r="D556" s="5"/>
      <c r="E556" s="5"/>
      <c r="F556" s="5"/>
      <c r="G556" s="5"/>
      <c r="H556" s="5"/>
      <c r="I556" s="5"/>
      <c r="J556" s="5"/>
    </row>
    <row r="557">
      <c r="A557" s="13"/>
      <c r="B557" s="5"/>
      <c r="C557" s="5"/>
      <c r="D557" s="5"/>
      <c r="E557" s="5"/>
      <c r="F557" s="5"/>
      <c r="G557" s="5"/>
      <c r="H557" s="5"/>
      <c r="I557" s="5"/>
      <c r="J557" s="5"/>
    </row>
    <row r="558">
      <c r="A558" s="13"/>
      <c r="B558" s="5"/>
      <c r="C558" s="5"/>
      <c r="D558" s="5"/>
      <c r="E558" s="5"/>
      <c r="F558" s="5"/>
      <c r="G558" s="5"/>
      <c r="H558" s="5"/>
      <c r="I558" s="5"/>
      <c r="J558" s="5"/>
    </row>
    <row r="559">
      <c r="A559" s="13"/>
      <c r="B559" s="5"/>
      <c r="C559" s="5"/>
      <c r="D559" s="5"/>
      <c r="E559" s="5"/>
      <c r="F559" s="5"/>
      <c r="G559" s="5"/>
      <c r="H559" s="5"/>
      <c r="I559" s="5"/>
      <c r="J559" s="5"/>
    </row>
    <row r="560">
      <c r="A560" s="13"/>
      <c r="B560" s="5"/>
      <c r="C560" s="5"/>
      <c r="D560" s="5"/>
      <c r="E560" s="5"/>
      <c r="F560" s="5"/>
      <c r="G560" s="5"/>
      <c r="H560" s="5"/>
      <c r="I560" s="5"/>
      <c r="J560" s="5"/>
    </row>
    <row r="561">
      <c r="A561" s="13"/>
      <c r="B561" s="5"/>
      <c r="C561" s="5"/>
      <c r="D561" s="5"/>
      <c r="E561" s="5"/>
      <c r="F561" s="5"/>
      <c r="G561" s="5"/>
      <c r="H561" s="5"/>
      <c r="I561" s="5"/>
      <c r="J561" s="5"/>
    </row>
    <row r="562">
      <c r="A562" s="13"/>
      <c r="B562" s="5"/>
      <c r="C562" s="5"/>
      <c r="D562" s="5"/>
      <c r="E562" s="5"/>
      <c r="F562" s="5"/>
      <c r="G562" s="5"/>
      <c r="H562" s="5"/>
      <c r="I562" s="5"/>
      <c r="J562" s="5"/>
    </row>
    <row r="563">
      <c r="A563" s="13"/>
      <c r="B563" s="5"/>
      <c r="C563" s="5"/>
      <c r="D563" s="5"/>
      <c r="E563" s="5"/>
      <c r="F563" s="5"/>
      <c r="G563" s="5"/>
      <c r="H563" s="5"/>
      <c r="I563" s="5"/>
      <c r="J563" s="5"/>
    </row>
    <row r="564">
      <c r="A564" s="13"/>
      <c r="B564" s="5"/>
      <c r="C564" s="5"/>
      <c r="D564" s="5"/>
      <c r="E564" s="5"/>
      <c r="F564" s="5"/>
      <c r="G564" s="5"/>
      <c r="H564" s="5"/>
      <c r="I564" s="5"/>
      <c r="J564" s="5"/>
    </row>
    <row r="565">
      <c r="A565" s="13"/>
      <c r="B565" s="5"/>
      <c r="C565" s="5"/>
      <c r="D565" s="5"/>
      <c r="E565" s="5"/>
      <c r="F565" s="5"/>
      <c r="G565" s="5"/>
      <c r="H565" s="5"/>
      <c r="I565" s="5"/>
      <c r="J565" s="5"/>
    </row>
    <row r="566">
      <c r="A566" s="13"/>
      <c r="B566" s="5"/>
      <c r="C566" s="5"/>
      <c r="D566" s="5"/>
      <c r="E566" s="5"/>
      <c r="F566" s="5"/>
      <c r="G566" s="5"/>
      <c r="H566" s="5"/>
      <c r="I566" s="5"/>
      <c r="J566" s="5"/>
    </row>
    <row r="567">
      <c r="A567" s="13"/>
      <c r="B567" s="5"/>
      <c r="C567" s="5"/>
      <c r="D567" s="5"/>
      <c r="E567" s="5"/>
      <c r="F567" s="5"/>
      <c r="G567" s="5"/>
      <c r="H567" s="5"/>
      <c r="I567" s="5"/>
      <c r="J567" s="5"/>
    </row>
    <row r="568">
      <c r="A568" s="13"/>
      <c r="B568" s="5"/>
      <c r="C568" s="5"/>
      <c r="D568" s="5"/>
      <c r="E568" s="5"/>
      <c r="F568" s="5"/>
      <c r="G568" s="5"/>
      <c r="H568" s="5"/>
      <c r="I568" s="5"/>
      <c r="J568" s="5"/>
    </row>
    <row r="569">
      <c r="A569" s="13"/>
      <c r="B569" s="5"/>
      <c r="C569" s="5"/>
      <c r="D569" s="5"/>
      <c r="E569" s="5"/>
      <c r="F569" s="5"/>
      <c r="G569" s="5"/>
      <c r="H569" s="5"/>
      <c r="I569" s="5"/>
      <c r="J569" s="5"/>
    </row>
    <row r="570">
      <c r="A570" s="13"/>
      <c r="B570" s="5"/>
      <c r="C570" s="5"/>
      <c r="D570" s="5"/>
      <c r="E570" s="5"/>
      <c r="F570" s="5"/>
      <c r="G570" s="5"/>
      <c r="H570" s="5"/>
      <c r="I570" s="5"/>
      <c r="J570" s="5"/>
    </row>
    <row r="571">
      <c r="A571" s="13"/>
      <c r="B571" s="5"/>
      <c r="C571" s="5"/>
      <c r="D571" s="5"/>
      <c r="E571" s="5"/>
      <c r="F571" s="5"/>
      <c r="G571" s="5"/>
      <c r="H571" s="5"/>
      <c r="I571" s="5"/>
      <c r="J571" s="5"/>
    </row>
    <row r="572">
      <c r="A572" s="13"/>
      <c r="B572" s="5"/>
      <c r="C572" s="5"/>
      <c r="D572" s="5"/>
      <c r="E572" s="5"/>
      <c r="F572" s="5"/>
      <c r="G572" s="5"/>
      <c r="H572" s="5"/>
      <c r="I572" s="5"/>
      <c r="J572" s="5"/>
    </row>
    <row r="573">
      <c r="A573" s="13"/>
      <c r="B573" s="5"/>
      <c r="C573" s="5"/>
      <c r="D573" s="5"/>
      <c r="E573" s="5"/>
      <c r="F573" s="5"/>
      <c r="G573" s="5"/>
      <c r="H573" s="5"/>
      <c r="I573" s="5"/>
      <c r="J573" s="5"/>
    </row>
    <row r="574">
      <c r="A574" s="13"/>
      <c r="B574" s="5"/>
      <c r="C574" s="5"/>
      <c r="D574" s="5"/>
      <c r="E574" s="5"/>
      <c r="F574" s="5"/>
      <c r="G574" s="5"/>
      <c r="H574" s="5"/>
      <c r="I574" s="5"/>
      <c r="J574" s="5"/>
    </row>
    <row r="575">
      <c r="A575" s="13"/>
      <c r="B575" s="5"/>
      <c r="C575" s="5"/>
      <c r="D575" s="5"/>
      <c r="E575" s="5"/>
      <c r="F575" s="5"/>
      <c r="G575" s="5"/>
      <c r="H575" s="5"/>
      <c r="I575" s="5"/>
      <c r="J575" s="5"/>
    </row>
    <row r="576">
      <c r="A576" s="13"/>
      <c r="B576" s="5"/>
      <c r="C576" s="5"/>
      <c r="D576" s="5"/>
      <c r="E576" s="5"/>
      <c r="F576" s="5"/>
      <c r="G576" s="5"/>
      <c r="H576" s="5"/>
      <c r="I576" s="5"/>
      <c r="J576" s="5"/>
    </row>
    <row r="577">
      <c r="A577" s="13"/>
      <c r="B577" s="5"/>
      <c r="C577" s="5"/>
      <c r="D577" s="5"/>
      <c r="E577" s="5"/>
      <c r="F577" s="5"/>
      <c r="G577" s="5"/>
      <c r="H577" s="5"/>
      <c r="I577" s="5"/>
      <c r="J577" s="5"/>
    </row>
    <row r="578">
      <c r="A578" s="13"/>
      <c r="B578" s="5"/>
      <c r="C578" s="5"/>
      <c r="D578" s="5"/>
      <c r="E578" s="5"/>
      <c r="F578" s="5"/>
      <c r="G578" s="5"/>
      <c r="H578" s="5"/>
      <c r="I578" s="5"/>
      <c r="J578" s="5"/>
    </row>
    <row r="579">
      <c r="A579" s="13"/>
      <c r="B579" s="5"/>
      <c r="C579" s="5"/>
      <c r="D579" s="5"/>
      <c r="E579" s="5"/>
      <c r="F579" s="5"/>
      <c r="G579" s="5"/>
      <c r="H579" s="5"/>
      <c r="I579" s="5"/>
      <c r="J579" s="5"/>
    </row>
    <row r="580">
      <c r="A580" s="13"/>
      <c r="B580" s="5"/>
      <c r="C580" s="5"/>
      <c r="D580" s="5"/>
      <c r="E580" s="5"/>
      <c r="F580" s="5"/>
      <c r="G580" s="5"/>
      <c r="H580" s="5"/>
      <c r="I580" s="5"/>
      <c r="J580" s="5"/>
    </row>
    <row r="581">
      <c r="A581" s="13"/>
      <c r="B581" s="5"/>
      <c r="C581" s="5"/>
      <c r="D581" s="5"/>
      <c r="E581" s="5"/>
      <c r="F581" s="5"/>
      <c r="G581" s="5"/>
      <c r="H581" s="5"/>
      <c r="I581" s="5"/>
      <c r="J581" s="5"/>
    </row>
    <row r="582">
      <c r="A582" s="13"/>
      <c r="B582" s="5"/>
      <c r="C582" s="5"/>
      <c r="D582" s="5"/>
      <c r="E582" s="5"/>
      <c r="F582" s="5"/>
      <c r="G582" s="5"/>
      <c r="H582" s="5"/>
      <c r="I582" s="5"/>
      <c r="J582" s="5"/>
    </row>
    <row r="583">
      <c r="A583" s="13"/>
      <c r="B583" s="5"/>
      <c r="C583" s="5"/>
      <c r="D583" s="5"/>
      <c r="E583" s="5"/>
      <c r="F583" s="5"/>
      <c r="G583" s="5"/>
      <c r="H583" s="5"/>
      <c r="I583" s="5"/>
      <c r="J583" s="5"/>
    </row>
    <row r="584">
      <c r="A584" s="13"/>
      <c r="B584" s="5"/>
      <c r="C584" s="5"/>
      <c r="D584" s="5"/>
      <c r="E584" s="5"/>
      <c r="F584" s="5"/>
      <c r="G584" s="5"/>
      <c r="H584" s="5"/>
      <c r="I584" s="5"/>
      <c r="J584" s="5"/>
    </row>
    <row r="585">
      <c r="A585" s="13"/>
      <c r="B585" s="5"/>
      <c r="C585" s="5"/>
      <c r="D585" s="5"/>
      <c r="E585" s="5"/>
      <c r="F585" s="5"/>
      <c r="G585" s="5"/>
      <c r="H585" s="5"/>
      <c r="I585" s="5"/>
      <c r="J585" s="5"/>
    </row>
    <row r="586">
      <c r="A586" s="13"/>
      <c r="B586" s="5"/>
      <c r="C586" s="5"/>
      <c r="D586" s="5"/>
      <c r="E586" s="5"/>
      <c r="F586" s="5"/>
      <c r="G586" s="5"/>
      <c r="H586" s="5"/>
      <c r="I586" s="5"/>
      <c r="J586" s="5"/>
    </row>
    <row r="587">
      <c r="A587" s="13"/>
      <c r="B587" s="5"/>
      <c r="C587" s="5"/>
      <c r="D587" s="5"/>
      <c r="E587" s="5"/>
      <c r="F587" s="5"/>
      <c r="G587" s="5"/>
      <c r="H587" s="5"/>
      <c r="I587" s="5"/>
      <c r="J587" s="5"/>
    </row>
    <row r="588">
      <c r="A588" s="13"/>
      <c r="B588" s="5"/>
      <c r="C588" s="5"/>
      <c r="D588" s="5"/>
      <c r="E588" s="5"/>
      <c r="F588" s="5"/>
      <c r="G588" s="5"/>
      <c r="H588" s="5"/>
      <c r="I588" s="5"/>
      <c r="J588" s="5"/>
    </row>
    <row r="589">
      <c r="A589" s="13"/>
      <c r="B589" s="5"/>
      <c r="C589" s="5"/>
      <c r="D589" s="5"/>
      <c r="E589" s="5"/>
      <c r="F589" s="5"/>
      <c r="G589" s="5"/>
      <c r="H589" s="5"/>
      <c r="I589" s="5"/>
      <c r="J589" s="5"/>
    </row>
    <row r="590">
      <c r="A590" s="13"/>
      <c r="B590" s="5"/>
      <c r="C590" s="5"/>
      <c r="D590" s="5"/>
      <c r="E590" s="5"/>
      <c r="F590" s="5"/>
      <c r="G590" s="5"/>
      <c r="H590" s="5"/>
      <c r="I590" s="5"/>
      <c r="J590" s="5"/>
    </row>
    <row r="591">
      <c r="A591" s="13"/>
      <c r="B591" s="5"/>
      <c r="C591" s="5"/>
      <c r="D591" s="5"/>
      <c r="E591" s="5"/>
      <c r="F591" s="5"/>
      <c r="G591" s="5"/>
      <c r="H591" s="5"/>
      <c r="I591" s="5"/>
      <c r="J591" s="5"/>
    </row>
    <row r="592">
      <c r="A592" s="13"/>
      <c r="B592" s="5"/>
      <c r="C592" s="5"/>
      <c r="D592" s="5"/>
      <c r="E592" s="5"/>
      <c r="F592" s="5"/>
      <c r="G592" s="5"/>
      <c r="H592" s="5"/>
      <c r="I592" s="5"/>
      <c r="J592" s="5"/>
    </row>
    <row r="593">
      <c r="A593" s="13"/>
      <c r="B593" s="5"/>
      <c r="C593" s="5"/>
      <c r="D593" s="5"/>
      <c r="E593" s="5"/>
      <c r="F593" s="5"/>
      <c r="G593" s="5"/>
      <c r="H593" s="5"/>
      <c r="I593" s="5"/>
      <c r="J593" s="5"/>
    </row>
    <row r="594">
      <c r="A594" s="13"/>
      <c r="B594" s="5"/>
      <c r="C594" s="5"/>
      <c r="D594" s="5"/>
      <c r="E594" s="5"/>
      <c r="F594" s="5"/>
      <c r="G594" s="5"/>
      <c r="H594" s="5"/>
      <c r="I594" s="5"/>
      <c r="J594" s="5"/>
    </row>
    <row r="595">
      <c r="A595" s="13"/>
      <c r="B595" s="5"/>
      <c r="C595" s="5"/>
      <c r="D595" s="5"/>
      <c r="E595" s="5"/>
      <c r="F595" s="5"/>
      <c r="G595" s="5"/>
      <c r="H595" s="5"/>
      <c r="I595" s="5"/>
      <c r="J595" s="5"/>
    </row>
    <row r="596">
      <c r="A596" s="13"/>
      <c r="B596" s="5"/>
      <c r="C596" s="5"/>
      <c r="D596" s="5"/>
      <c r="E596" s="5"/>
      <c r="F596" s="5"/>
      <c r="G596" s="5"/>
      <c r="H596" s="5"/>
      <c r="I596" s="5"/>
      <c r="J596" s="5"/>
    </row>
    <row r="597">
      <c r="A597" s="13"/>
      <c r="B597" s="5"/>
      <c r="C597" s="5"/>
      <c r="D597" s="5"/>
      <c r="E597" s="5"/>
      <c r="F597" s="5"/>
      <c r="G597" s="5"/>
      <c r="H597" s="5"/>
      <c r="I597" s="5"/>
      <c r="J597" s="5"/>
    </row>
    <row r="598">
      <c r="A598" s="13"/>
      <c r="B598" s="5"/>
      <c r="C598" s="5"/>
      <c r="D598" s="5"/>
      <c r="E598" s="5"/>
      <c r="F598" s="5"/>
      <c r="G598" s="5"/>
      <c r="H598" s="5"/>
      <c r="I598" s="5"/>
      <c r="J598" s="5"/>
    </row>
    <row r="599">
      <c r="A599" s="13"/>
      <c r="B599" s="5"/>
      <c r="C599" s="5"/>
      <c r="D599" s="5"/>
      <c r="E599" s="5"/>
      <c r="F599" s="5"/>
      <c r="G599" s="5"/>
      <c r="H599" s="5"/>
      <c r="I599" s="5"/>
      <c r="J599" s="5"/>
    </row>
    <row r="600">
      <c r="A600" s="13"/>
      <c r="B600" s="5"/>
      <c r="C600" s="5"/>
      <c r="D600" s="5"/>
      <c r="E600" s="5"/>
      <c r="F600" s="5"/>
      <c r="G600" s="5"/>
      <c r="H600" s="5"/>
      <c r="I600" s="5"/>
      <c r="J600" s="5"/>
    </row>
    <row r="601">
      <c r="A601" s="13"/>
      <c r="B601" s="5"/>
      <c r="C601" s="5"/>
      <c r="D601" s="5"/>
      <c r="E601" s="5"/>
      <c r="F601" s="5"/>
      <c r="G601" s="5"/>
      <c r="H601" s="5"/>
      <c r="I601" s="5"/>
      <c r="J601" s="5"/>
    </row>
    <row r="602">
      <c r="A602" s="13"/>
      <c r="B602" s="5"/>
      <c r="C602" s="5"/>
      <c r="D602" s="5"/>
      <c r="E602" s="5"/>
      <c r="F602" s="5"/>
      <c r="G602" s="5"/>
      <c r="H602" s="5"/>
      <c r="I602" s="5"/>
      <c r="J602" s="5"/>
    </row>
    <row r="603">
      <c r="A603" s="13"/>
      <c r="B603" s="5"/>
      <c r="C603" s="5"/>
      <c r="D603" s="5"/>
      <c r="E603" s="5"/>
      <c r="F603" s="5"/>
      <c r="G603" s="5"/>
      <c r="H603" s="5"/>
      <c r="I603" s="5"/>
      <c r="J603" s="5"/>
    </row>
    <row r="604">
      <c r="A604" s="13"/>
      <c r="B604" s="5"/>
      <c r="C604" s="5"/>
      <c r="D604" s="5"/>
      <c r="E604" s="5"/>
      <c r="F604" s="5"/>
      <c r="G604" s="5"/>
      <c r="H604" s="5"/>
      <c r="I604" s="5"/>
      <c r="J604" s="5"/>
    </row>
    <row r="605">
      <c r="A605" s="13"/>
      <c r="B605" s="5"/>
      <c r="C605" s="5"/>
      <c r="D605" s="5"/>
      <c r="E605" s="5"/>
      <c r="F605" s="5"/>
      <c r="G605" s="5"/>
      <c r="H605" s="5"/>
      <c r="I605" s="5"/>
      <c r="J605" s="5"/>
    </row>
    <row r="606">
      <c r="A606" s="13"/>
      <c r="B606" s="5"/>
      <c r="C606" s="5"/>
      <c r="D606" s="5"/>
      <c r="E606" s="5"/>
      <c r="F606" s="5"/>
      <c r="G606" s="5"/>
      <c r="H606" s="5"/>
      <c r="I606" s="5"/>
      <c r="J606" s="5"/>
    </row>
    <row r="607">
      <c r="A607" s="13"/>
      <c r="B607" s="5"/>
      <c r="C607" s="5"/>
      <c r="D607" s="5"/>
      <c r="E607" s="5"/>
      <c r="F607" s="5"/>
      <c r="G607" s="5"/>
      <c r="H607" s="5"/>
      <c r="I607" s="5"/>
      <c r="J607" s="5"/>
    </row>
    <row r="608">
      <c r="A608" s="13"/>
      <c r="B608" s="5"/>
      <c r="C608" s="5"/>
      <c r="D608" s="5"/>
      <c r="E608" s="5"/>
      <c r="F608" s="5"/>
      <c r="G608" s="5"/>
      <c r="H608" s="5"/>
      <c r="I608" s="5"/>
      <c r="J608" s="5"/>
    </row>
    <row r="609">
      <c r="A609" s="13"/>
      <c r="B609" s="5"/>
      <c r="C609" s="5"/>
      <c r="D609" s="5"/>
      <c r="E609" s="5"/>
      <c r="F609" s="5"/>
      <c r="G609" s="5"/>
      <c r="H609" s="5"/>
      <c r="I609" s="5"/>
      <c r="J609" s="5"/>
    </row>
    <row r="610">
      <c r="A610" s="13"/>
      <c r="B610" s="5"/>
      <c r="C610" s="5"/>
      <c r="D610" s="5"/>
      <c r="E610" s="5"/>
      <c r="F610" s="5"/>
      <c r="G610" s="5"/>
      <c r="H610" s="5"/>
      <c r="I610" s="5"/>
      <c r="J610" s="5"/>
    </row>
    <row r="611">
      <c r="A611" s="13"/>
      <c r="B611" s="5"/>
      <c r="C611" s="5"/>
      <c r="D611" s="5"/>
      <c r="E611" s="5"/>
      <c r="F611" s="5"/>
      <c r="G611" s="5"/>
      <c r="H611" s="5"/>
      <c r="I611" s="5"/>
      <c r="J611" s="5"/>
    </row>
    <row r="612">
      <c r="A612" s="13"/>
      <c r="B612" s="5"/>
      <c r="C612" s="5"/>
      <c r="D612" s="5"/>
      <c r="E612" s="5"/>
      <c r="F612" s="5"/>
      <c r="G612" s="5"/>
      <c r="H612" s="5"/>
      <c r="I612" s="5"/>
      <c r="J612" s="5"/>
    </row>
    <row r="613">
      <c r="A613" s="13"/>
      <c r="B613" s="5"/>
      <c r="C613" s="5"/>
      <c r="D613" s="5"/>
      <c r="E613" s="5"/>
      <c r="F613" s="5"/>
      <c r="G613" s="5"/>
      <c r="H613" s="5"/>
      <c r="I613" s="5"/>
      <c r="J613" s="5"/>
    </row>
    <row r="614">
      <c r="A614" s="13"/>
      <c r="B614" s="5"/>
      <c r="C614" s="5"/>
      <c r="D614" s="5"/>
      <c r="E614" s="5"/>
      <c r="F614" s="5"/>
      <c r="G614" s="5"/>
      <c r="H614" s="5"/>
      <c r="I614" s="5"/>
      <c r="J614" s="5"/>
    </row>
    <row r="615">
      <c r="A615" s="13"/>
      <c r="B615" s="5"/>
      <c r="C615" s="5"/>
      <c r="D615" s="5"/>
      <c r="E615" s="5"/>
      <c r="F615" s="5"/>
      <c r="G615" s="5"/>
      <c r="H615" s="5"/>
      <c r="I615" s="5"/>
      <c r="J615" s="5"/>
    </row>
    <row r="616">
      <c r="A616" s="13"/>
      <c r="B616" s="5"/>
      <c r="C616" s="5"/>
      <c r="D616" s="5"/>
      <c r="E616" s="5"/>
      <c r="F616" s="5"/>
      <c r="G616" s="5"/>
      <c r="H616" s="5"/>
      <c r="I616" s="5"/>
      <c r="J616" s="5"/>
    </row>
    <row r="617">
      <c r="A617" s="13"/>
      <c r="B617" s="5"/>
      <c r="C617" s="5"/>
      <c r="D617" s="5"/>
      <c r="E617" s="5"/>
      <c r="F617" s="5"/>
      <c r="G617" s="5"/>
      <c r="H617" s="5"/>
      <c r="I617" s="5"/>
      <c r="J617" s="5"/>
    </row>
    <row r="618">
      <c r="A618" s="13"/>
      <c r="B618" s="5"/>
      <c r="C618" s="5"/>
      <c r="D618" s="5"/>
      <c r="E618" s="5"/>
      <c r="F618" s="5"/>
      <c r="G618" s="5"/>
      <c r="H618" s="5"/>
      <c r="I618" s="5"/>
      <c r="J618" s="5"/>
    </row>
    <row r="619">
      <c r="A619" s="13"/>
      <c r="B619" s="5"/>
      <c r="C619" s="5"/>
      <c r="D619" s="5"/>
      <c r="E619" s="5"/>
      <c r="F619" s="5"/>
      <c r="G619" s="5"/>
      <c r="H619" s="5"/>
      <c r="I619" s="5"/>
      <c r="J619" s="5"/>
    </row>
    <row r="620">
      <c r="A620" s="13"/>
      <c r="B620" s="5"/>
      <c r="C620" s="5"/>
      <c r="D620" s="5"/>
      <c r="E620" s="5"/>
      <c r="F620" s="5"/>
      <c r="G620" s="5"/>
      <c r="H620" s="5"/>
      <c r="I620" s="5"/>
      <c r="J620" s="5"/>
    </row>
    <row r="621">
      <c r="A621" s="13"/>
      <c r="B621" s="5"/>
      <c r="C621" s="5"/>
      <c r="D621" s="5"/>
      <c r="E621" s="5"/>
      <c r="F621" s="5"/>
      <c r="G621" s="5"/>
      <c r="H621" s="5"/>
      <c r="I621" s="5"/>
      <c r="J621" s="5"/>
    </row>
    <row r="622">
      <c r="A622" s="13"/>
      <c r="B622" s="5"/>
      <c r="C622" s="5"/>
      <c r="D622" s="5"/>
      <c r="E622" s="5"/>
      <c r="F622" s="5"/>
      <c r="G622" s="5"/>
      <c r="H622" s="5"/>
      <c r="I622" s="5"/>
      <c r="J622" s="5"/>
    </row>
    <row r="623">
      <c r="A623" s="13"/>
      <c r="B623" s="5"/>
      <c r="C623" s="5"/>
      <c r="D623" s="5"/>
      <c r="E623" s="5"/>
      <c r="F623" s="5"/>
      <c r="G623" s="5"/>
      <c r="H623" s="5"/>
      <c r="I623" s="5"/>
      <c r="J623" s="5"/>
    </row>
    <row r="624">
      <c r="A624" s="13"/>
      <c r="B624" s="5"/>
      <c r="C624" s="5"/>
      <c r="D624" s="5"/>
      <c r="E624" s="5"/>
      <c r="F624" s="5"/>
      <c r="G624" s="5"/>
      <c r="H624" s="5"/>
      <c r="I624" s="5"/>
      <c r="J624" s="5"/>
    </row>
    <row r="625">
      <c r="A625" s="13"/>
      <c r="B625" s="5"/>
      <c r="C625" s="5"/>
      <c r="D625" s="5"/>
      <c r="E625" s="5"/>
      <c r="F625" s="5"/>
      <c r="G625" s="5"/>
      <c r="H625" s="5"/>
      <c r="I625" s="5"/>
      <c r="J625" s="5"/>
    </row>
    <row r="626">
      <c r="A626" s="13"/>
      <c r="B626" s="5"/>
      <c r="C626" s="5"/>
      <c r="D626" s="5"/>
      <c r="E626" s="5"/>
      <c r="F626" s="5"/>
      <c r="G626" s="5"/>
      <c r="H626" s="5"/>
      <c r="I626" s="5"/>
      <c r="J626" s="5"/>
    </row>
    <row r="627">
      <c r="A627" s="13"/>
      <c r="B627" s="5"/>
      <c r="C627" s="5"/>
      <c r="D627" s="5"/>
      <c r="E627" s="5"/>
      <c r="F627" s="5"/>
      <c r="G627" s="5"/>
      <c r="H627" s="5"/>
      <c r="I627" s="5"/>
      <c r="J627" s="5"/>
    </row>
    <row r="628">
      <c r="A628" s="13"/>
      <c r="B628" s="5"/>
      <c r="C628" s="5"/>
      <c r="D628" s="5"/>
      <c r="E628" s="5"/>
      <c r="F628" s="5"/>
      <c r="G628" s="5"/>
      <c r="H628" s="5"/>
      <c r="I628" s="5"/>
      <c r="J628" s="5"/>
    </row>
    <row r="629">
      <c r="A629" s="13"/>
      <c r="B629" s="5"/>
      <c r="C629" s="5"/>
      <c r="D629" s="5"/>
      <c r="E629" s="5"/>
      <c r="F629" s="5"/>
      <c r="G629" s="5"/>
      <c r="H629" s="5"/>
      <c r="I629" s="5"/>
      <c r="J629" s="5"/>
    </row>
    <row r="630">
      <c r="A630" s="13"/>
      <c r="B630" s="5"/>
      <c r="C630" s="5"/>
      <c r="D630" s="5"/>
      <c r="E630" s="5"/>
      <c r="F630" s="5"/>
      <c r="G630" s="5"/>
      <c r="H630" s="5"/>
      <c r="I630" s="5"/>
      <c r="J630" s="5"/>
    </row>
    <row r="631">
      <c r="A631" s="13"/>
      <c r="B631" s="5"/>
      <c r="C631" s="5"/>
      <c r="D631" s="5"/>
      <c r="E631" s="5"/>
      <c r="F631" s="5"/>
      <c r="G631" s="5"/>
      <c r="H631" s="5"/>
      <c r="I631" s="5"/>
      <c r="J631" s="5"/>
    </row>
    <row r="632">
      <c r="A632" s="13"/>
      <c r="B632" s="5"/>
      <c r="C632" s="5"/>
      <c r="D632" s="5"/>
      <c r="E632" s="5"/>
      <c r="F632" s="5"/>
      <c r="G632" s="5"/>
      <c r="H632" s="5"/>
      <c r="I632" s="5"/>
      <c r="J632" s="5"/>
    </row>
    <row r="633">
      <c r="A633" s="13"/>
      <c r="B633" s="5"/>
      <c r="C633" s="5"/>
      <c r="D633" s="5"/>
      <c r="E633" s="5"/>
      <c r="F633" s="5"/>
      <c r="G633" s="5"/>
      <c r="H633" s="5"/>
      <c r="I633" s="5"/>
      <c r="J633" s="5"/>
    </row>
    <row r="634">
      <c r="A634" s="13"/>
      <c r="B634" s="5"/>
      <c r="C634" s="5"/>
      <c r="D634" s="5"/>
      <c r="E634" s="5"/>
      <c r="F634" s="5"/>
      <c r="G634" s="5"/>
      <c r="H634" s="5"/>
      <c r="I634" s="5"/>
      <c r="J634" s="5"/>
    </row>
    <row r="635">
      <c r="A635" s="13"/>
      <c r="B635" s="5"/>
      <c r="C635" s="5"/>
      <c r="D635" s="5"/>
      <c r="E635" s="5"/>
      <c r="F635" s="5"/>
      <c r="G635" s="5"/>
      <c r="H635" s="5"/>
      <c r="I635" s="5"/>
      <c r="J635" s="5"/>
    </row>
    <row r="636">
      <c r="A636" s="13"/>
      <c r="B636" s="5"/>
      <c r="C636" s="5"/>
      <c r="D636" s="5"/>
      <c r="E636" s="5"/>
      <c r="F636" s="5"/>
      <c r="G636" s="5"/>
      <c r="H636" s="5"/>
      <c r="I636" s="5"/>
      <c r="J636" s="5"/>
    </row>
    <row r="637">
      <c r="A637" s="13"/>
      <c r="B637" s="5"/>
      <c r="C637" s="5"/>
      <c r="D637" s="5"/>
      <c r="E637" s="5"/>
      <c r="F637" s="5"/>
      <c r="G637" s="5"/>
      <c r="H637" s="5"/>
      <c r="I637" s="5"/>
      <c r="J637" s="5"/>
    </row>
    <row r="638">
      <c r="A638" s="13"/>
      <c r="B638" s="5"/>
      <c r="C638" s="5"/>
      <c r="D638" s="5"/>
      <c r="E638" s="5"/>
      <c r="F638" s="5"/>
      <c r="G638" s="5"/>
      <c r="H638" s="5"/>
      <c r="I638" s="5"/>
      <c r="J638" s="5"/>
    </row>
    <row r="639">
      <c r="A639" s="13"/>
      <c r="B639" s="5"/>
      <c r="C639" s="5"/>
      <c r="D639" s="5"/>
      <c r="E639" s="5"/>
      <c r="F639" s="5"/>
      <c r="G639" s="5"/>
      <c r="H639" s="5"/>
      <c r="I639" s="5"/>
      <c r="J639" s="5"/>
    </row>
    <row r="640">
      <c r="A640" s="13"/>
      <c r="B640" s="5"/>
      <c r="C640" s="5"/>
      <c r="D640" s="5"/>
      <c r="E640" s="5"/>
      <c r="F640" s="5"/>
      <c r="G640" s="5"/>
      <c r="H640" s="5"/>
      <c r="I640" s="5"/>
      <c r="J640" s="5"/>
    </row>
    <row r="641">
      <c r="A641" s="13"/>
      <c r="B641" s="5"/>
      <c r="C641" s="5"/>
      <c r="D641" s="5"/>
      <c r="E641" s="5"/>
      <c r="F641" s="5"/>
      <c r="G641" s="5"/>
      <c r="H641" s="5"/>
      <c r="I641" s="5"/>
      <c r="J641" s="5"/>
    </row>
    <row r="642">
      <c r="A642" s="13"/>
      <c r="B642" s="5"/>
      <c r="C642" s="5"/>
      <c r="D642" s="5"/>
      <c r="E642" s="5"/>
      <c r="F642" s="5"/>
      <c r="G642" s="5"/>
      <c r="H642" s="5"/>
      <c r="I642" s="5"/>
      <c r="J642" s="5"/>
    </row>
    <row r="643">
      <c r="A643" s="13"/>
      <c r="B643" s="5"/>
      <c r="C643" s="5"/>
      <c r="D643" s="5"/>
      <c r="E643" s="5"/>
      <c r="F643" s="5"/>
      <c r="G643" s="5"/>
      <c r="H643" s="5"/>
      <c r="I643" s="5"/>
      <c r="J643" s="5"/>
    </row>
    <row r="644">
      <c r="A644" s="13"/>
      <c r="B644" s="5"/>
      <c r="C644" s="5"/>
      <c r="D644" s="5"/>
      <c r="E644" s="5"/>
      <c r="F644" s="5"/>
      <c r="G644" s="5"/>
      <c r="H644" s="5"/>
      <c r="I644" s="5"/>
      <c r="J644" s="5"/>
    </row>
    <row r="645">
      <c r="A645" s="13"/>
      <c r="B645" s="5"/>
      <c r="C645" s="5"/>
      <c r="D645" s="5"/>
      <c r="E645" s="5"/>
      <c r="F645" s="5"/>
      <c r="G645" s="5"/>
      <c r="H645" s="5"/>
      <c r="I645" s="5"/>
      <c r="J645" s="5"/>
    </row>
    <row r="646">
      <c r="A646" s="13"/>
      <c r="B646" s="5"/>
      <c r="C646" s="5"/>
      <c r="D646" s="5"/>
      <c r="E646" s="5"/>
      <c r="F646" s="5"/>
      <c r="G646" s="5"/>
      <c r="H646" s="5"/>
      <c r="I646" s="5"/>
      <c r="J646" s="5"/>
    </row>
    <row r="647">
      <c r="A647" s="13"/>
      <c r="B647" s="5"/>
      <c r="C647" s="5"/>
      <c r="D647" s="5"/>
      <c r="E647" s="5"/>
      <c r="F647" s="5"/>
      <c r="G647" s="5"/>
      <c r="H647" s="5"/>
      <c r="I647" s="5"/>
      <c r="J647" s="5"/>
    </row>
    <row r="648">
      <c r="A648" s="13"/>
      <c r="B648" s="5"/>
      <c r="C648" s="5"/>
      <c r="D648" s="5"/>
      <c r="E648" s="5"/>
      <c r="F648" s="5"/>
      <c r="G648" s="5"/>
      <c r="H648" s="5"/>
      <c r="I648" s="5"/>
      <c r="J648" s="5"/>
    </row>
    <row r="649">
      <c r="A649" s="13"/>
      <c r="B649" s="5"/>
      <c r="C649" s="5"/>
      <c r="D649" s="5"/>
      <c r="E649" s="5"/>
      <c r="F649" s="5"/>
      <c r="G649" s="5"/>
      <c r="H649" s="5"/>
      <c r="I649" s="5"/>
      <c r="J649" s="5"/>
    </row>
    <row r="650">
      <c r="A650" s="13"/>
      <c r="B650" s="5"/>
      <c r="C650" s="5"/>
      <c r="D650" s="5"/>
      <c r="E650" s="5"/>
      <c r="F650" s="5"/>
      <c r="G650" s="5"/>
      <c r="H650" s="5"/>
      <c r="I650" s="5"/>
      <c r="J650" s="5"/>
    </row>
    <row r="651">
      <c r="A651" s="13"/>
      <c r="B651" s="5"/>
      <c r="C651" s="5"/>
      <c r="D651" s="5"/>
      <c r="E651" s="5"/>
      <c r="F651" s="5"/>
      <c r="G651" s="5"/>
      <c r="H651" s="5"/>
      <c r="I651" s="5"/>
      <c r="J651" s="5"/>
    </row>
    <row r="652">
      <c r="A652" s="13"/>
      <c r="B652" s="5"/>
      <c r="C652" s="5"/>
      <c r="D652" s="5"/>
      <c r="E652" s="5"/>
      <c r="F652" s="5"/>
      <c r="G652" s="5"/>
      <c r="H652" s="5"/>
      <c r="I652" s="5"/>
      <c r="J652" s="5"/>
    </row>
    <row r="653">
      <c r="A653" s="13"/>
      <c r="B653" s="5"/>
      <c r="C653" s="5"/>
      <c r="D653" s="5"/>
      <c r="E653" s="5"/>
      <c r="F653" s="5"/>
      <c r="G653" s="5"/>
      <c r="H653" s="5"/>
      <c r="I653" s="5"/>
      <c r="J653" s="5"/>
    </row>
    <row r="654">
      <c r="A654" s="13"/>
      <c r="B654" s="5"/>
      <c r="C654" s="5"/>
      <c r="D654" s="5"/>
      <c r="E654" s="5"/>
      <c r="F654" s="5"/>
      <c r="G654" s="5"/>
      <c r="H654" s="5"/>
      <c r="I654" s="5"/>
      <c r="J654" s="5"/>
    </row>
    <row r="655">
      <c r="A655" s="13"/>
      <c r="B655" s="5"/>
      <c r="C655" s="5"/>
      <c r="D655" s="5"/>
      <c r="E655" s="5"/>
      <c r="F655" s="5"/>
      <c r="G655" s="5"/>
      <c r="H655" s="5"/>
      <c r="I655" s="5"/>
      <c r="J655" s="5"/>
    </row>
    <row r="656">
      <c r="A656" s="13"/>
      <c r="B656" s="5"/>
      <c r="C656" s="5"/>
      <c r="D656" s="5"/>
      <c r="E656" s="5"/>
      <c r="F656" s="5"/>
      <c r="G656" s="5"/>
      <c r="H656" s="5"/>
      <c r="I656" s="5"/>
      <c r="J656" s="5"/>
    </row>
    <row r="657">
      <c r="A657" s="13"/>
      <c r="B657" s="5"/>
      <c r="C657" s="5"/>
      <c r="D657" s="5"/>
      <c r="E657" s="5"/>
      <c r="F657" s="5"/>
      <c r="G657" s="5"/>
      <c r="H657" s="5"/>
      <c r="I657" s="5"/>
      <c r="J657" s="5"/>
    </row>
    <row r="658">
      <c r="A658" s="13"/>
      <c r="B658" s="5"/>
      <c r="C658" s="5"/>
      <c r="D658" s="5"/>
      <c r="E658" s="5"/>
      <c r="F658" s="5"/>
      <c r="G658" s="5"/>
      <c r="H658" s="5"/>
      <c r="I658" s="5"/>
      <c r="J658" s="5"/>
    </row>
    <row r="659">
      <c r="A659" s="13"/>
      <c r="B659" s="5"/>
      <c r="C659" s="5"/>
      <c r="D659" s="5"/>
      <c r="E659" s="5"/>
      <c r="F659" s="5"/>
      <c r="G659" s="5"/>
      <c r="H659" s="5"/>
      <c r="I659" s="5"/>
      <c r="J659" s="5"/>
    </row>
    <row r="660">
      <c r="A660" s="13"/>
      <c r="B660" s="5"/>
      <c r="C660" s="5"/>
      <c r="D660" s="5"/>
      <c r="E660" s="5"/>
      <c r="F660" s="5"/>
      <c r="G660" s="5"/>
      <c r="H660" s="5"/>
      <c r="I660" s="5"/>
      <c r="J660" s="5"/>
    </row>
    <row r="661">
      <c r="A661" s="13"/>
      <c r="B661" s="5"/>
      <c r="C661" s="5"/>
      <c r="D661" s="5"/>
      <c r="E661" s="5"/>
      <c r="F661" s="5"/>
      <c r="G661" s="5"/>
      <c r="H661" s="5"/>
      <c r="I661" s="5"/>
      <c r="J661" s="5"/>
    </row>
    <row r="662">
      <c r="A662" s="13"/>
      <c r="B662" s="5"/>
      <c r="C662" s="5"/>
      <c r="D662" s="5"/>
      <c r="E662" s="5"/>
      <c r="F662" s="5"/>
      <c r="G662" s="5"/>
      <c r="H662" s="5"/>
      <c r="I662" s="5"/>
      <c r="J662" s="5"/>
    </row>
    <row r="663">
      <c r="A663" s="13"/>
      <c r="B663" s="5"/>
      <c r="C663" s="5"/>
      <c r="D663" s="5"/>
      <c r="E663" s="5"/>
      <c r="F663" s="5"/>
      <c r="G663" s="5"/>
      <c r="H663" s="5"/>
      <c r="I663" s="5"/>
      <c r="J663" s="5"/>
    </row>
    <row r="664">
      <c r="A664" s="13"/>
      <c r="B664" s="5"/>
      <c r="C664" s="5"/>
      <c r="D664" s="5"/>
      <c r="E664" s="5"/>
      <c r="F664" s="5"/>
      <c r="G664" s="5"/>
      <c r="H664" s="5"/>
      <c r="I664" s="5"/>
      <c r="J664" s="5"/>
    </row>
    <row r="665">
      <c r="A665" s="13"/>
      <c r="B665" s="5"/>
      <c r="C665" s="5"/>
      <c r="D665" s="5"/>
      <c r="E665" s="5"/>
      <c r="F665" s="5"/>
      <c r="G665" s="5"/>
      <c r="H665" s="5"/>
      <c r="I665" s="5"/>
      <c r="J665" s="5"/>
    </row>
    <row r="666">
      <c r="A666" s="13"/>
      <c r="B666" s="5"/>
      <c r="C666" s="5"/>
      <c r="D666" s="5"/>
      <c r="E666" s="5"/>
      <c r="F666" s="5"/>
      <c r="G666" s="5"/>
      <c r="H666" s="5"/>
      <c r="I666" s="5"/>
      <c r="J666" s="5"/>
    </row>
    <row r="667">
      <c r="A667" s="13"/>
      <c r="B667" s="5"/>
      <c r="C667" s="5"/>
      <c r="D667" s="5"/>
      <c r="E667" s="5"/>
      <c r="F667" s="5"/>
      <c r="G667" s="5"/>
      <c r="H667" s="5"/>
      <c r="I667" s="5"/>
      <c r="J667" s="5"/>
    </row>
    <row r="668">
      <c r="A668" s="13"/>
      <c r="B668" s="5"/>
      <c r="C668" s="5"/>
      <c r="D668" s="5"/>
      <c r="E668" s="5"/>
      <c r="F668" s="5"/>
      <c r="G668" s="5"/>
      <c r="H668" s="5"/>
      <c r="I668" s="5"/>
      <c r="J668" s="5"/>
    </row>
    <row r="669">
      <c r="A669" s="13"/>
      <c r="B669" s="5"/>
      <c r="C669" s="5"/>
      <c r="D669" s="5"/>
      <c r="E669" s="5"/>
      <c r="F669" s="5"/>
      <c r="G669" s="5"/>
      <c r="H669" s="5"/>
      <c r="I669" s="5"/>
      <c r="J669" s="5"/>
    </row>
    <row r="670">
      <c r="A670" s="13"/>
      <c r="B670" s="5"/>
      <c r="C670" s="5"/>
      <c r="D670" s="5"/>
      <c r="E670" s="5"/>
      <c r="F670" s="5"/>
      <c r="G670" s="5"/>
      <c r="H670" s="5"/>
      <c r="I670" s="5"/>
      <c r="J670" s="5"/>
    </row>
    <row r="671">
      <c r="A671" s="13"/>
      <c r="B671" s="5"/>
      <c r="C671" s="5"/>
      <c r="D671" s="5"/>
      <c r="E671" s="5"/>
      <c r="F671" s="5"/>
      <c r="G671" s="5"/>
      <c r="H671" s="5"/>
      <c r="I671" s="5"/>
      <c r="J671" s="5"/>
    </row>
    <row r="672">
      <c r="A672" s="13"/>
      <c r="B672" s="5"/>
      <c r="C672" s="5"/>
      <c r="D672" s="5"/>
      <c r="E672" s="5"/>
      <c r="F672" s="5"/>
      <c r="G672" s="5"/>
      <c r="H672" s="5"/>
      <c r="I672" s="5"/>
      <c r="J672" s="5"/>
    </row>
    <row r="673">
      <c r="A673" s="13"/>
      <c r="B673" s="5"/>
      <c r="C673" s="5"/>
      <c r="D673" s="5"/>
      <c r="E673" s="5"/>
      <c r="F673" s="5"/>
      <c r="G673" s="5"/>
      <c r="H673" s="5"/>
      <c r="I673" s="5"/>
      <c r="J673" s="5"/>
    </row>
    <row r="674">
      <c r="A674" s="13"/>
      <c r="B674" s="5"/>
      <c r="C674" s="5"/>
      <c r="D674" s="5"/>
      <c r="E674" s="5"/>
      <c r="F674" s="5"/>
      <c r="G674" s="5"/>
      <c r="H674" s="5"/>
      <c r="I674" s="5"/>
      <c r="J674" s="5"/>
    </row>
    <row r="675">
      <c r="A675" s="13"/>
      <c r="B675" s="5"/>
      <c r="C675" s="5"/>
      <c r="D675" s="5"/>
      <c r="E675" s="5"/>
      <c r="F675" s="5"/>
      <c r="G675" s="5"/>
      <c r="H675" s="5"/>
      <c r="I675" s="5"/>
      <c r="J675" s="5"/>
    </row>
    <row r="676">
      <c r="A676" s="13"/>
      <c r="B676" s="5"/>
      <c r="C676" s="5"/>
      <c r="D676" s="5"/>
      <c r="E676" s="5"/>
      <c r="F676" s="5"/>
      <c r="G676" s="5"/>
      <c r="H676" s="5"/>
      <c r="I676" s="5"/>
      <c r="J676" s="5"/>
    </row>
    <row r="677">
      <c r="A677" s="13"/>
      <c r="B677" s="5"/>
      <c r="C677" s="5"/>
      <c r="D677" s="5"/>
      <c r="E677" s="5"/>
      <c r="F677" s="5"/>
      <c r="G677" s="5"/>
      <c r="H677" s="5"/>
      <c r="I677" s="5"/>
      <c r="J677" s="5"/>
    </row>
    <row r="678">
      <c r="A678" s="13"/>
      <c r="B678" s="5"/>
      <c r="C678" s="5"/>
      <c r="D678" s="5"/>
      <c r="E678" s="5"/>
      <c r="F678" s="5"/>
      <c r="G678" s="5"/>
      <c r="H678" s="5"/>
      <c r="I678" s="5"/>
      <c r="J678" s="5"/>
    </row>
    <row r="679">
      <c r="A679" s="13"/>
      <c r="B679" s="5"/>
      <c r="C679" s="5"/>
      <c r="D679" s="5"/>
      <c r="E679" s="5"/>
      <c r="F679" s="5"/>
      <c r="G679" s="5"/>
      <c r="H679" s="5"/>
      <c r="I679" s="5"/>
      <c r="J679" s="5"/>
    </row>
    <row r="680">
      <c r="A680" s="13"/>
      <c r="B680" s="5"/>
      <c r="C680" s="5"/>
      <c r="D680" s="5"/>
      <c r="E680" s="5"/>
      <c r="F680" s="5"/>
      <c r="G680" s="5"/>
      <c r="H680" s="5"/>
      <c r="I680" s="5"/>
      <c r="J680" s="5"/>
    </row>
    <row r="681">
      <c r="A681" s="13"/>
      <c r="B681" s="5"/>
      <c r="C681" s="5"/>
      <c r="D681" s="5"/>
      <c r="E681" s="5"/>
      <c r="F681" s="5"/>
      <c r="G681" s="5"/>
      <c r="H681" s="5"/>
      <c r="I681" s="5"/>
      <c r="J681" s="5"/>
    </row>
    <row r="682">
      <c r="A682" s="13"/>
      <c r="B682" s="5"/>
      <c r="C682" s="5"/>
      <c r="D682" s="5"/>
      <c r="E682" s="5"/>
      <c r="F682" s="5"/>
      <c r="G682" s="5"/>
      <c r="H682" s="5"/>
      <c r="I682" s="5"/>
      <c r="J682" s="5"/>
    </row>
    <row r="683">
      <c r="A683" s="13"/>
      <c r="B683" s="5"/>
      <c r="C683" s="5"/>
      <c r="D683" s="5"/>
      <c r="E683" s="5"/>
      <c r="F683" s="5"/>
      <c r="G683" s="5"/>
      <c r="H683" s="5"/>
      <c r="I683" s="5"/>
      <c r="J683" s="5"/>
    </row>
    <row r="684">
      <c r="A684" s="13"/>
      <c r="B684" s="5"/>
      <c r="C684" s="5"/>
      <c r="D684" s="5"/>
      <c r="E684" s="5"/>
      <c r="F684" s="5"/>
      <c r="G684" s="5"/>
      <c r="H684" s="5"/>
      <c r="I684" s="5"/>
      <c r="J684" s="5"/>
    </row>
    <row r="685">
      <c r="A685" s="13"/>
      <c r="B685" s="5"/>
      <c r="C685" s="5"/>
      <c r="D685" s="5"/>
      <c r="E685" s="5"/>
      <c r="F685" s="5"/>
      <c r="G685" s="5"/>
      <c r="H685" s="5"/>
      <c r="I685" s="5"/>
      <c r="J685" s="5"/>
    </row>
    <row r="686">
      <c r="A686" s="13"/>
      <c r="B686" s="5"/>
      <c r="C686" s="5"/>
      <c r="D686" s="5"/>
      <c r="E686" s="5"/>
      <c r="F686" s="5"/>
      <c r="G686" s="5"/>
      <c r="H686" s="5"/>
      <c r="I686" s="5"/>
      <c r="J686" s="5"/>
    </row>
    <row r="687">
      <c r="A687" s="13"/>
      <c r="B687" s="5"/>
      <c r="C687" s="5"/>
      <c r="D687" s="5"/>
      <c r="E687" s="5"/>
      <c r="F687" s="5"/>
      <c r="G687" s="5"/>
      <c r="H687" s="5"/>
      <c r="I687" s="5"/>
      <c r="J687" s="5"/>
    </row>
    <row r="688">
      <c r="A688" s="13"/>
      <c r="B688" s="5"/>
      <c r="C688" s="5"/>
      <c r="D688" s="5"/>
      <c r="E688" s="5"/>
      <c r="F688" s="5"/>
      <c r="G688" s="5"/>
      <c r="H688" s="5"/>
      <c r="I688" s="5"/>
      <c r="J688" s="5"/>
    </row>
    <row r="689">
      <c r="A689" s="13"/>
      <c r="B689" s="5"/>
      <c r="C689" s="5"/>
      <c r="D689" s="5"/>
      <c r="E689" s="5"/>
      <c r="F689" s="5"/>
      <c r="G689" s="5"/>
      <c r="H689" s="5"/>
      <c r="I689" s="5"/>
      <c r="J689" s="5"/>
    </row>
    <row r="690">
      <c r="A690" s="13"/>
      <c r="B690" s="5"/>
      <c r="C690" s="5"/>
      <c r="D690" s="5"/>
      <c r="E690" s="5"/>
      <c r="F690" s="5"/>
      <c r="G690" s="5"/>
      <c r="H690" s="5"/>
      <c r="I690" s="5"/>
      <c r="J690" s="5"/>
    </row>
    <row r="691">
      <c r="A691" s="13"/>
      <c r="B691" s="5"/>
      <c r="C691" s="5"/>
      <c r="D691" s="5"/>
      <c r="E691" s="5"/>
      <c r="F691" s="5"/>
      <c r="G691" s="5"/>
      <c r="H691" s="5"/>
      <c r="I691" s="5"/>
      <c r="J691" s="5"/>
    </row>
    <row r="692">
      <c r="A692" s="13"/>
      <c r="B692" s="5"/>
      <c r="C692" s="5"/>
      <c r="D692" s="5"/>
      <c r="E692" s="5"/>
      <c r="F692" s="5"/>
      <c r="G692" s="5"/>
      <c r="H692" s="5"/>
      <c r="I692" s="5"/>
      <c r="J692" s="5"/>
    </row>
    <row r="693">
      <c r="A693" s="13"/>
      <c r="B693" s="5"/>
      <c r="C693" s="5"/>
      <c r="D693" s="5"/>
      <c r="E693" s="5"/>
      <c r="F693" s="5"/>
      <c r="G693" s="5"/>
      <c r="H693" s="5"/>
      <c r="I693" s="5"/>
      <c r="J693" s="5"/>
    </row>
    <row r="694">
      <c r="A694" s="13"/>
      <c r="B694" s="5"/>
      <c r="C694" s="5"/>
      <c r="D694" s="5"/>
      <c r="E694" s="5"/>
      <c r="F694" s="5"/>
      <c r="G694" s="5"/>
      <c r="H694" s="5"/>
      <c r="I694" s="5"/>
      <c r="J694" s="5"/>
    </row>
    <row r="695">
      <c r="A695" s="13"/>
      <c r="B695" s="5"/>
      <c r="C695" s="5"/>
      <c r="D695" s="5"/>
      <c r="E695" s="5"/>
      <c r="F695" s="5"/>
      <c r="G695" s="5"/>
      <c r="H695" s="5"/>
      <c r="I695" s="5"/>
      <c r="J695" s="5"/>
    </row>
    <row r="696">
      <c r="A696" s="13"/>
      <c r="B696" s="5"/>
      <c r="C696" s="5"/>
      <c r="D696" s="5"/>
      <c r="E696" s="5"/>
      <c r="F696" s="5"/>
      <c r="G696" s="5"/>
      <c r="H696" s="5"/>
      <c r="I696" s="5"/>
      <c r="J696" s="5"/>
    </row>
    <row r="697">
      <c r="A697" s="13"/>
      <c r="B697" s="5"/>
      <c r="C697" s="5"/>
      <c r="D697" s="5"/>
      <c r="E697" s="5"/>
      <c r="F697" s="5"/>
      <c r="G697" s="5"/>
      <c r="H697" s="5"/>
      <c r="I697" s="5"/>
      <c r="J697" s="5"/>
    </row>
    <row r="698">
      <c r="A698" s="13"/>
      <c r="B698" s="5"/>
      <c r="C698" s="5"/>
      <c r="D698" s="5"/>
      <c r="E698" s="5"/>
      <c r="F698" s="5"/>
      <c r="G698" s="5"/>
      <c r="H698" s="5"/>
      <c r="I698" s="5"/>
      <c r="J698" s="5"/>
    </row>
    <row r="699">
      <c r="A699" s="13"/>
      <c r="B699" s="5"/>
      <c r="C699" s="5"/>
      <c r="D699" s="5"/>
      <c r="E699" s="5"/>
      <c r="F699" s="5"/>
      <c r="G699" s="5"/>
      <c r="H699" s="5"/>
      <c r="I699" s="5"/>
      <c r="J699" s="5"/>
    </row>
    <row r="700">
      <c r="A700" s="13"/>
      <c r="B700" s="5"/>
      <c r="C700" s="5"/>
      <c r="D700" s="5"/>
      <c r="E700" s="5"/>
      <c r="F700" s="5"/>
      <c r="G700" s="5"/>
      <c r="H700" s="5"/>
      <c r="I700" s="5"/>
      <c r="J700" s="5"/>
    </row>
    <row r="701">
      <c r="A701" s="13"/>
      <c r="B701" s="5"/>
      <c r="C701" s="5"/>
      <c r="D701" s="5"/>
      <c r="E701" s="5"/>
      <c r="F701" s="5"/>
      <c r="G701" s="5"/>
      <c r="H701" s="5"/>
      <c r="I701" s="5"/>
      <c r="J701" s="5"/>
    </row>
    <row r="702">
      <c r="A702" s="13"/>
      <c r="B702" s="5"/>
      <c r="C702" s="5"/>
      <c r="D702" s="5"/>
      <c r="E702" s="5"/>
      <c r="F702" s="5"/>
      <c r="G702" s="5"/>
      <c r="H702" s="5"/>
      <c r="I702" s="5"/>
      <c r="J702" s="5"/>
    </row>
    <row r="703">
      <c r="A703" s="13"/>
      <c r="B703" s="5"/>
      <c r="C703" s="5"/>
      <c r="D703" s="5"/>
      <c r="E703" s="5"/>
      <c r="F703" s="5"/>
      <c r="G703" s="5"/>
      <c r="H703" s="5"/>
      <c r="I703" s="5"/>
      <c r="J703" s="5"/>
    </row>
    <row r="704">
      <c r="A704" s="13"/>
      <c r="B704" s="5"/>
      <c r="C704" s="5"/>
      <c r="D704" s="5"/>
      <c r="E704" s="5"/>
      <c r="F704" s="5"/>
      <c r="G704" s="5"/>
      <c r="H704" s="5"/>
      <c r="I704" s="5"/>
      <c r="J704" s="5"/>
    </row>
    <row r="705">
      <c r="A705" s="13"/>
      <c r="B705" s="5"/>
      <c r="C705" s="5"/>
      <c r="D705" s="5"/>
      <c r="E705" s="5"/>
      <c r="F705" s="5"/>
      <c r="G705" s="5"/>
      <c r="H705" s="5"/>
      <c r="I705" s="5"/>
      <c r="J705" s="5"/>
    </row>
    <row r="706">
      <c r="A706" s="13"/>
      <c r="B706" s="5"/>
      <c r="C706" s="5"/>
      <c r="D706" s="5"/>
      <c r="E706" s="5"/>
      <c r="F706" s="5"/>
      <c r="G706" s="5"/>
      <c r="H706" s="5"/>
      <c r="I706" s="5"/>
      <c r="J706" s="5"/>
    </row>
    <row r="707">
      <c r="A707" s="13"/>
      <c r="B707" s="5"/>
      <c r="C707" s="5"/>
      <c r="D707" s="5"/>
      <c r="E707" s="5"/>
      <c r="F707" s="5"/>
      <c r="G707" s="5"/>
      <c r="H707" s="5"/>
      <c r="I707" s="5"/>
      <c r="J707" s="5"/>
    </row>
    <row r="708">
      <c r="A708" s="13"/>
      <c r="B708" s="5"/>
      <c r="C708" s="5"/>
      <c r="D708" s="5"/>
      <c r="E708" s="5"/>
      <c r="F708" s="5"/>
      <c r="G708" s="5"/>
      <c r="H708" s="5"/>
      <c r="I708" s="5"/>
      <c r="J708" s="5"/>
    </row>
    <row r="709">
      <c r="A709" s="13"/>
      <c r="B709" s="5"/>
      <c r="C709" s="5"/>
      <c r="D709" s="5"/>
      <c r="E709" s="5"/>
      <c r="F709" s="5"/>
      <c r="G709" s="5"/>
      <c r="H709" s="5"/>
      <c r="I709" s="5"/>
      <c r="J709" s="5"/>
    </row>
    <row r="710">
      <c r="A710" s="13"/>
      <c r="B710" s="5"/>
      <c r="C710" s="5"/>
      <c r="D710" s="5"/>
      <c r="E710" s="5"/>
      <c r="F710" s="5"/>
      <c r="G710" s="5"/>
      <c r="H710" s="5"/>
      <c r="I710" s="5"/>
      <c r="J710" s="5"/>
    </row>
    <row r="711">
      <c r="A711" s="13"/>
      <c r="B711" s="5"/>
      <c r="C711" s="5"/>
      <c r="D711" s="5"/>
      <c r="E711" s="5"/>
      <c r="F711" s="5"/>
      <c r="G711" s="5"/>
      <c r="H711" s="5"/>
      <c r="I711" s="5"/>
      <c r="J711" s="5"/>
    </row>
    <row r="712">
      <c r="A712" s="13"/>
      <c r="B712" s="5"/>
      <c r="C712" s="5"/>
      <c r="D712" s="5"/>
      <c r="E712" s="5"/>
      <c r="F712" s="5"/>
      <c r="G712" s="5"/>
      <c r="H712" s="5"/>
      <c r="I712" s="5"/>
      <c r="J712" s="5"/>
    </row>
    <row r="713">
      <c r="A713" s="13"/>
      <c r="B713" s="5"/>
      <c r="C713" s="5"/>
      <c r="D713" s="5"/>
      <c r="E713" s="5"/>
      <c r="F713" s="5"/>
      <c r="G713" s="5"/>
      <c r="H713" s="5"/>
      <c r="I713" s="5"/>
      <c r="J713" s="5"/>
    </row>
    <row r="714">
      <c r="A714" s="13"/>
      <c r="B714" s="5"/>
      <c r="C714" s="5"/>
      <c r="D714" s="5"/>
      <c r="E714" s="5"/>
      <c r="F714" s="5"/>
      <c r="G714" s="5"/>
      <c r="H714" s="5"/>
      <c r="I714" s="5"/>
      <c r="J714" s="5"/>
    </row>
    <row r="715">
      <c r="A715" s="13"/>
      <c r="B715" s="5"/>
      <c r="C715" s="5"/>
      <c r="D715" s="5"/>
      <c r="E715" s="5"/>
      <c r="F715" s="5"/>
      <c r="G715" s="5"/>
      <c r="H715" s="5"/>
      <c r="I715" s="5"/>
      <c r="J715" s="5"/>
    </row>
    <row r="716">
      <c r="A716" s="13"/>
      <c r="B716" s="5"/>
      <c r="C716" s="5"/>
      <c r="D716" s="5"/>
      <c r="E716" s="5"/>
      <c r="F716" s="5"/>
      <c r="G716" s="5"/>
      <c r="H716" s="5"/>
      <c r="I716" s="5"/>
      <c r="J716" s="5"/>
    </row>
    <row r="717">
      <c r="A717" s="13"/>
      <c r="B717" s="5"/>
      <c r="C717" s="5"/>
      <c r="D717" s="5"/>
      <c r="E717" s="5"/>
      <c r="F717" s="5"/>
      <c r="G717" s="5"/>
      <c r="H717" s="5"/>
      <c r="I717" s="5"/>
      <c r="J717" s="5"/>
    </row>
    <row r="718">
      <c r="A718" s="13"/>
      <c r="B718" s="5"/>
      <c r="C718" s="5"/>
      <c r="D718" s="5"/>
      <c r="E718" s="5"/>
      <c r="F718" s="5"/>
      <c r="G718" s="5"/>
      <c r="H718" s="5"/>
      <c r="I718" s="5"/>
      <c r="J718" s="5"/>
    </row>
    <row r="719">
      <c r="A719" s="13"/>
      <c r="B719" s="5"/>
      <c r="C719" s="5"/>
      <c r="D719" s="5"/>
      <c r="E719" s="5"/>
      <c r="F719" s="5"/>
      <c r="G719" s="5"/>
      <c r="H719" s="5"/>
      <c r="I719" s="5"/>
      <c r="J719" s="5"/>
    </row>
    <row r="720">
      <c r="A720" s="13"/>
      <c r="B720" s="5"/>
      <c r="C720" s="5"/>
      <c r="D720" s="5"/>
      <c r="E720" s="5"/>
      <c r="F720" s="5"/>
      <c r="G720" s="5"/>
      <c r="H720" s="5"/>
      <c r="I720" s="5"/>
      <c r="J720" s="5"/>
    </row>
    <row r="721">
      <c r="A721" s="13"/>
      <c r="B721" s="5"/>
      <c r="C721" s="5"/>
      <c r="D721" s="5"/>
      <c r="E721" s="5"/>
      <c r="F721" s="5"/>
      <c r="G721" s="5"/>
      <c r="H721" s="5"/>
      <c r="I721" s="5"/>
      <c r="J721" s="5"/>
    </row>
    <row r="722">
      <c r="A722" s="13"/>
      <c r="B722" s="5"/>
      <c r="C722" s="5"/>
      <c r="D722" s="5"/>
      <c r="E722" s="5"/>
      <c r="F722" s="5"/>
      <c r="G722" s="5"/>
      <c r="H722" s="5"/>
      <c r="I722" s="5"/>
      <c r="J722" s="5"/>
    </row>
    <row r="723">
      <c r="A723" s="13"/>
      <c r="B723" s="5"/>
      <c r="C723" s="5"/>
      <c r="D723" s="5"/>
      <c r="E723" s="5"/>
      <c r="F723" s="5"/>
      <c r="G723" s="5"/>
      <c r="H723" s="5"/>
      <c r="I723" s="5"/>
      <c r="J723" s="5"/>
    </row>
    <row r="724">
      <c r="A724" s="13"/>
      <c r="B724" s="5"/>
      <c r="C724" s="5"/>
      <c r="D724" s="5"/>
      <c r="E724" s="5"/>
      <c r="F724" s="5"/>
      <c r="G724" s="5"/>
      <c r="H724" s="5"/>
      <c r="I724" s="5"/>
      <c r="J724" s="5"/>
    </row>
    <row r="725">
      <c r="A725" s="13"/>
      <c r="B725" s="5"/>
      <c r="C725" s="5"/>
      <c r="D725" s="5"/>
      <c r="E725" s="5"/>
      <c r="F725" s="5"/>
      <c r="G725" s="5"/>
      <c r="H725" s="5"/>
      <c r="I725" s="5"/>
      <c r="J725" s="5"/>
    </row>
    <row r="726">
      <c r="A726" s="13"/>
      <c r="B726" s="5"/>
      <c r="C726" s="5"/>
      <c r="D726" s="5"/>
      <c r="E726" s="5"/>
      <c r="F726" s="5"/>
      <c r="G726" s="5"/>
      <c r="H726" s="5"/>
      <c r="I726" s="5"/>
      <c r="J726" s="5"/>
    </row>
    <row r="727">
      <c r="A727" s="13"/>
      <c r="B727" s="5"/>
      <c r="C727" s="5"/>
      <c r="D727" s="5"/>
      <c r="E727" s="5"/>
      <c r="F727" s="5"/>
      <c r="G727" s="5"/>
      <c r="H727" s="5"/>
      <c r="I727" s="5"/>
      <c r="J727" s="5"/>
    </row>
    <row r="728">
      <c r="A728" s="13"/>
      <c r="B728" s="5"/>
      <c r="C728" s="5"/>
      <c r="D728" s="5"/>
      <c r="E728" s="5"/>
      <c r="F728" s="5"/>
      <c r="G728" s="5"/>
      <c r="H728" s="5"/>
      <c r="I728" s="5"/>
      <c r="J728" s="5"/>
    </row>
    <row r="729">
      <c r="A729" s="13"/>
      <c r="B729" s="5"/>
      <c r="C729" s="5"/>
      <c r="D729" s="5"/>
      <c r="E729" s="5"/>
      <c r="F729" s="5"/>
      <c r="G729" s="5"/>
      <c r="H729" s="5"/>
      <c r="I729" s="5"/>
      <c r="J729" s="5"/>
    </row>
    <row r="730">
      <c r="A730" s="13"/>
      <c r="B730" s="5"/>
      <c r="C730" s="5"/>
      <c r="D730" s="5"/>
      <c r="E730" s="5"/>
      <c r="F730" s="5"/>
      <c r="G730" s="5"/>
      <c r="H730" s="5"/>
      <c r="I730" s="5"/>
      <c r="J730" s="5"/>
    </row>
    <row r="731">
      <c r="A731" s="13"/>
      <c r="B731" s="5"/>
      <c r="C731" s="5"/>
      <c r="D731" s="5"/>
      <c r="E731" s="5"/>
      <c r="F731" s="5"/>
      <c r="G731" s="5"/>
      <c r="H731" s="5"/>
      <c r="I731" s="5"/>
      <c r="J731" s="5"/>
    </row>
    <row r="732">
      <c r="A732" s="13"/>
      <c r="B732" s="5"/>
      <c r="C732" s="5"/>
      <c r="D732" s="5"/>
      <c r="E732" s="5"/>
      <c r="F732" s="5"/>
      <c r="G732" s="5"/>
      <c r="H732" s="5"/>
      <c r="I732" s="5"/>
      <c r="J732" s="5"/>
    </row>
    <row r="733">
      <c r="A733" s="13"/>
      <c r="B733" s="5"/>
      <c r="C733" s="5"/>
      <c r="D733" s="5"/>
      <c r="E733" s="5"/>
      <c r="F733" s="5"/>
      <c r="G733" s="5"/>
      <c r="H733" s="5"/>
      <c r="I733" s="5"/>
      <c r="J733" s="5"/>
    </row>
    <row r="734">
      <c r="A734" s="13"/>
      <c r="B734" s="5"/>
      <c r="C734" s="5"/>
      <c r="D734" s="5"/>
      <c r="E734" s="5"/>
      <c r="F734" s="5"/>
      <c r="G734" s="5"/>
      <c r="H734" s="5"/>
      <c r="I734" s="5"/>
      <c r="J734" s="5"/>
    </row>
    <row r="735">
      <c r="A735" s="13"/>
      <c r="B735" s="5"/>
      <c r="C735" s="5"/>
      <c r="D735" s="5"/>
      <c r="E735" s="5"/>
      <c r="F735" s="5"/>
      <c r="G735" s="5"/>
      <c r="H735" s="5"/>
      <c r="I735" s="5"/>
      <c r="J735" s="5"/>
    </row>
    <row r="736">
      <c r="A736" s="13"/>
      <c r="B736" s="5"/>
      <c r="C736" s="5"/>
      <c r="D736" s="5"/>
      <c r="E736" s="5"/>
      <c r="F736" s="5"/>
      <c r="G736" s="5"/>
      <c r="H736" s="5"/>
      <c r="I736" s="5"/>
      <c r="J736" s="5"/>
    </row>
    <row r="737">
      <c r="A737" s="13"/>
      <c r="B737" s="5"/>
      <c r="C737" s="5"/>
      <c r="D737" s="5"/>
      <c r="E737" s="5"/>
      <c r="F737" s="5"/>
      <c r="G737" s="5"/>
      <c r="H737" s="5"/>
      <c r="I737" s="5"/>
      <c r="J737" s="5"/>
    </row>
    <row r="738">
      <c r="A738" s="13"/>
      <c r="B738" s="5"/>
      <c r="C738" s="5"/>
      <c r="D738" s="5"/>
      <c r="E738" s="5"/>
      <c r="F738" s="5"/>
      <c r="G738" s="5"/>
      <c r="H738" s="5"/>
      <c r="I738" s="5"/>
      <c r="J738" s="5"/>
    </row>
    <row r="739">
      <c r="A739" s="13"/>
      <c r="B739" s="5"/>
      <c r="C739" s="5"/>
      <c r="D739" s="5"/>
      <c r="E739" s="5"/>
      <c r="F739" s="5"/>
      <c r="G739" s="5"/>
      <c r="H739" s="5"/>
      <c r="I739" s="5"/>
      <c r="J739" s="5"/>
    </row>
    <row r="740">
      <c r="A740" s="13"/>
      <c r="B740" s="5"/>
      <c r="C740" s="5"/>
      <c r="D740" s="5"/>
      <c r="E740" s="5"/>
      <c r="F740" s="5"/>
      <c r="G740" s="5"/>
      <c r="H740" s="5"/>
      <c r="I740" s="5"/>
      <c r="J740" s="5"/>
    </row>
    <row r="741">
      <c r="A741" s="13"/>
      <c r="B741" s="5"/>
      <c r="C741" s="5"/>
      <c r="D741" s="5"/>
      <c r="E741" s="5"/>
      <c r="F741" s="5"/>
      <c r="G741" s="5"/>
      <c r="H741" s="5"/>
      <c r="I741" s="5"/>
      <c r="J741" s="5"/>
    </row>
    <row r="742">
      <c r="A742" s="13"/>
      <c r="B742" s="5"/>
      <c r="C742" s="5"/>
      <c r="D742" s="5"/>
      <c r="E742" s="5"/>
      <c r="F742" s="5"/>
      <c r="G742" s="5"/>
      <c r="H742" s="5"/>
      <c r="I742" s="5"/>
      <c r="J742" s="5"/>
    </row>
    <row r="743">
      <c r="A743" s="13"/>
      <c r="B743" s="5"/>
      <c r="C743" s="5"/>
      <c r="D743" s="5"/>
      <c r="E743" s="5"/>
      <c r="F743" s="5"/>
      <c r="G743" s="5"/>
      <c r="H743" s="5"/>
      <c r="I743" s="5"/>
      <c r="J743" s="5"/>
    </row>
    <row r="744">
      <c r="A744" s="13"/>
      <c r="B744" s="5"/>
      <c r="C744" s="5"/>
      <c r="D744" s="5"/>
      <c r="E744" s="5"/>
      <c r="F744" s="5"/>
      <c r="G744" s="5"/>
      <c r="H744" s="5"/>
      <c r="I744" s="5"/>
      <c r="J744" s="5"/>
    </row>
    <row r="745">
      <c r="A745" s="13"/>
      <c r="B745" s="5"/>
      <c r="C745" s="5"/>
      <c r="D745" s="5"/>
      <c r="E745" s="5"/>
      <c r="F745" s="5"/>
      <c r="G745" s="5"/>
      <c r="H745" s="5"/>
      <c r="I745" s="5"/>
      <c r="J745" s="5"/>
    </row>
    <row r="746">
      <c r="A746" s="13"/>
      <c r="B746" s="5"/>
      <c r="C746" s="5"/>
      <c r="D746" s="5"/>
      <c r="E746" s="5"/>
      <c r="F746" s="5"/>
      <c r="G746" s="5"/>
      <c r="H746" s="5"/>
      <c r="I746" s="5"/>
      <c r="J746" s="5"/>
    </row>
    <row r="747">
      <c r="A747" s="13"/>
      <c r="B747" s="5"/>
      <c r="C747" s="5"/>
      <c r="D747" s="5"/>
      <c r="E747" s="5"/>
      <c r="F747" s="5"/>
      <c r="G747" s="5"/>
      <c r="H747" s="5"/>
      <c r="I747" s="5"/>
      <c r="J747" s="5"/>
    </row>
    <row r="748">
      <c r="A748" s="13"/>
      <c r="B748" s="5"/>
      <c r="C748" s="5"/>
      <c r="D748" s="5"/>
      <c r="E748" s="5"/>
      <c r="F748" s="5"/>
      <c r="G748" s="5"/>
      <c r="H748" s="5"/>
      <c r="I748" s="5"/>
      <c r="J748" s="5"/>
    </row>
    <row r="749">
      <c r="A749" s="13"/>
      <c r="B749" s="5"/>
      <c r="C749" s="5"/>
      <c r="D749" s="5"/>
      <c r="E749" s="5"/>
      <c r="F749" s="5"/>
      <c r="G749" s="5"/>
      <c r="H749" s="5"/>
      <c r="I749" s="5"/>
      <c r="J749" s="5"/>
    </row>
    <row r="750">
      <c r="A750" s="13"/>
      <c r="B750" s="5"/>
      <c r="C750" s="5"/>
      <c r="D750" s="5"/>
      <c r="E750" s="5"/>
      <c r="F750" s="5"/>
      <c r="G750" s="5"/>
      <c r="H750" s="5"/>
      <c r="I750" s="5"/>
      <c r="J750" s="5"/>
    </row>
    <row r="751">
      <c r="A751" s="13"/>
      <c r="B751" s="5"/>
      <c r="C751" s="5"/>
      <c r="D751" s="5"/>
      <c r="E751" s="5"/>
      <c r="F751" s="5"/>
      <c r="G751" s="5"/>
      <c r="H751" s="5"/>
      <c r="I751" s="5"/>
      <c r="J751" s="5"/>
    </row>
    <row r="752">
      <c r="A752" s="13"/>
      <c r="B752" s="5"/>
      <c r="C752" s="5"/>
      <c r="D752" s="5"/>
      <c r="E752" s="5"/>
      <c r="F752" s="5"/>
      <c r="G752" s="5"/>
      <c r="H752" s="5"/>
      <c r="I752" s="5"/>
      <c r="J752" s="5"/>
    </row>
    <row r="753">
      <c r="A753" s="13"/>
      <c r="B753" s="5"/>
      <c r="C753" s="5"/>
      <c r="D753" s="5"/>
      <c r="E753" s="5"/>
      <c r="F753" s="5"/>
      <c r="G753" s="5"/>
      <c r="H753" s="5"/>
      <c r="I753" s="5"/>
      <c r="J753" s="5"/>
    </row>
    <row r="754">
      <c r="A754" s="13"/>
      <c r="B754" s="5"/>
      <c r="C754" s="5"/>
      <c r="D754" s="5"/>
      <c r="E754" s="5"/>
      <c r="F754" s="5"/>
      <c r="G754" s="5"/>
      <c r="H754" s="5"/>
      <c r="I754" s="5"/>
      <c r="J754" s="5"/>
    </row>
    <row r="755">
      <c r="A755" s="13"/>
      <c r="B755" s="5"/>
      <c r="C755" s="5"/>
      <c r="D755" s="5"/>
      <c r="E755" s="5"/>
      <c r="F755" s="5"/>
      <c r="G755" s="5"/>
      <c r="H755" s="5"/>
      <c r="I755" s="5"/>
      <c r="J755" s="5"/>
    </row>
    <row r="756">
      <c r="A756" s="13"/>
      <c r="B756" s="5"/>
      <c r="C756" s="5"/>
      <c r="D756" s="5"/>
      <c r="E756" s="5"/>
      <c r="F756" s="5"/>
      <c r="G756" s="5"/>
      <c r="H756" s="5"/>
      <c r="I756" s="5"/>
      <c r="J756" s="5"/>
    </row>
    <row r="757">
      <c r="A757" s="13"/>
      <c r="B757" s="5"/>
      <c r="C757" s="5"/>
      <c r="D757" s="5"/>
      <c r="E757" s="5"/>
      <c r="F757" s="5"/>
      <c r="G757" s="5"/>
      <c r="H757" s="5"/>
      <c r="I757" s="5"/>
      <c r="J757" s="5"/>
    </row>
    <row r="758">
      <c r="A758" s="13"/>
      <c r="B758" s="5"/>
      <c r="C758" s="5"/>
      <c r="D758" s="5"/>
      <c r="E758" s="5"/>
      <c r="F758" s="5"/>
      <c r="G758" s="5"/>
      <c r="H758" s="5"/>
      <c r="I758" s="5"/>
      <c r="J758" s="5"/>
    </row>
    <row r="759">
      <c r="A759" s="13"/>
      <c r="B759" s="5"/>
      <c r="C759" s="5"/>
      <c r="D759" s="5"/>
      <c r="E759" s="5"/>
      <c r="F759" s="5"/>
      <c r="G759" s="5"/>
      <c r="H759" s="5"/>
      <c r="I759" s="5"/>
      <c r="J759" s="5"/>
    </row>
    <row r="760">
      <c r="A760" s="13"/>
      <c r="B760" s="5"/>
      <c r="C760" s="5"/>
      <c r="D760" s="5"/>
      <c r="E760" s="5"/>
      <c r="F760" s="5"/>
      <c r="G760" s="5"/>
      <c r="H760" s="5"/>
      <c r="I760" s="5"/>
      <c r="J760" s="5"/>
    </row>
    <row r="761">
      <c r="A761" s="13"/>
      <c r="B761" s="5"/>
      <c r="C761" s="5"/>
      <c r="D761" s="5"/>
      <c r="E761" s="5"/>
      <c r="F761" s="5"/>
      <c r="G761" s="5"/>
      <c r="H761" s="5"/>
      <c r="I761" s="5"/>
      <c r="J761" s="5"/>
    </row>
    <row r="762">
      <c r="A762" s="13"/>
      <c r="B762" s="5"/>
      <c r="C762" s="5"/>
      <c r="D762" s="5"/>
      <c r="E762" s="5"/>
      <c r="F762" s="5"/>
      <c r="G762" s="5"/>
      <c r="H762" s="5"/>
      <c r="I762" s="5"/>
      <c r="J762" s="5"/>
    </row>
    <row r="763">
      <c r="A763" s="13"/>
      <c r="B763" s="5"/>
      <c r="C763" s="5"/>
      <c r="D763" s="5"/>
      <c r="E763" s="5"/>
      <c r="F763" s="5"/>
      <c r="G763" s="5"/>
      <c r="H763" s="5"/>
      <c r="I763" s="5"/>
      <c r="J763" s="5"/>
    </row>
    <row r="764">
      <c r="A764" s="13"/>
      <c r="B764" s="5"/>
      <c r="C764" s="5"/>
      <c r="D764" s="5"/>
      <c r="E764" s="5"/>
      <c r="F764" s="5"/>
      <c r="G764" s="5"/>
      <c r="H764" s="5"/>
      <c r="I764" s="5"/>
      <c r="J764" s="5"/>
    </row>
    <row r="765">
      <c r="A765" s="13"/>
      <c r="B765" s="5"/>
      <c r="C765" s="5"/>
      <c r="D765" s="5"/>
      <c r="E765" s="5"/>
      <c r="F765" s="5"/>
      <c r="G765" s="5"/>
      <c r="H765" s="5"/>
      <c r="I765" s="5"/>
      <c r="J765" s="5"/>
    </row>
    <row r="766">
      <c r="A766" s="13"/>
      <c r="B766" s="5"/>
      <c r="C766" s="5"/>
      <c r="D766" s="5"/>
      <c r="E766" s="5"/>
      <c r="F766" s="5"/>
      <c r="G766" s="5"/>
      <c r="H766" s="5"/>
      <c r="I766" s="5"/>
      <c r="J766" s="5"/>
    </row>
    <row r="767">
      <c r="A767" s="13"/>
      <c r="B767" s="5"/>
      <c r="C767" s="5"/>
      <c r="D767" s="5"/>
      <c r="E767" s="5"/>
      <c r="F767" s="5"/>
      <c r="G767" s="5"/>
      <c r="H767" s="5"/>
      <c r="I767" s="5"/>
      <c r="J767" s="5"/>
    </row>
    <row r="768">
      <c r="A768" s="13"/>
      <c r="B768" s="5"/>
      <c r="C768" s="5"/>
      <c r="D768" s="5"/>
      <c r="E768" s="5"/>
      <c r="F768" s="5"/>
      <c r="G768" s="5"/>
      <c r="H768" s="5"/>
      <c r="I768" s="5"/>
      <c r="J768" s="5"/>
    </row>
    <row r="769">
      <c r="A769" s="13"/>
      <c r="B769" s="5"/>
      <c r="C769" s="5"/>
      <c r="D769" s="5"/>
      <c r="E769" s="5"/>
      <c r="F769" s="5"/>
      <c r="G769" s="5"/>
      <c r="H769" s="5"/>
      <c r="I769" s="5"/>
      <c r="J769" s="5"/>
    </row>
    <row r="770">
      <c r="A770" s="13"/>
      <c r="B770" s="5"/>
      <c r="C770" s="5"/>
      <c r="D770" s="5"/>
      <c r="E770" s="5"/>
      <c r="F770" s="5"/>
      <c r="G770" s="5"/>
      <c r="H770" s="5"/>
      <c r="I770" s="5"/>
      <c r="J770" s="5"/>
    </row>
    <row r="771">
      <c r="A771" s="13"/>
      <c r="B771" s="5"/>
      <c r="C771" s="5"/>
      <c r="D771" s="5"/>
      <c r="E771" s="5"/>
      <c r="F771" s="5"/>
      <c r="G771" s="5"/>
      <c r="H771" s="5"/>
      <c r="I771" s="5"/>
      <c r="J771" s="5"/>
    </row>
    <row r="772">
      <c r="A772" s="13"/>
      <c r="B772" s="5"/>
      <c r="C772" s="5"/>
      <c r="D772" s="5"/>
      <c r="E772" s="5"/>
      <c r="F772" s="5"/>
      <c r="G772" s="5"/>
      <c r="H772" s="5"/>
      <c r="I772" s="5"/>
      <c r="J772" s="5"/>
    </row>
    <row r="773">
      <c r="A773" s="13"/>
      <c r="B773" s="5"/>
      <c r="C773" s="5"/>
      <c r="D773" s="5"/>
      <c r="E773" s="5"/>
      <c r="F773" s="5"/>
      <c r="G773" s="5"/>
      <c r="H773" s="5"/>
      <c r="I773" s="5"/>
      <c r="J773" s="5"/>
    </row>
    <row r="774">
      <c r="A774" s="13"/>
      <c r="B774" s="5"/>
      <c r="C774" s="5"/>
      <c r="D774" s="5"/>
      <c r="E774" s="5"/>
      <c r="F774" s="5"/>
      <c r="G774" s="5"/>
      <c r="H774" s="5"/>
      <c r="I774" s="5"/>
      <c r="J774" s="5"/>
    </row>
    <row r="775">
      <c r="A775" s="13"/>
      <c r="B775" s="5"/>
      <c r="C775" s="5"/>
      <c r="D775" s="5"/>
      <c r="E775" s="5"/>
      <c r="F775" s="5"/>
      <c r="G775" s="5"/>
      <c r="H775" s="5"/>
      <c r="I775" s="5"/>
      <c r="J775" s="5"/>
    </row>
    <row r="776">
      <c r="A776" s="13"/>
      <c r="B776" s="5"/>
      <c r="C776" s="5"/>
      <c r="D776" s="5"/>
      <c r="E776" s="5"/>
      <c r="F776" s="5"/>
      <c r="G776" s="5"/>
      <c r="H776" s="5"/>
      <c r="I776" s="5"/>
      <c r="J776" s="5"/>
    </row>
    <row r="777">
      <c r="A777" s="13"/>
      <c r="B777" s="5"/>
      <c r="C777" s="5"/>
      <c r="D777" s="5"/>
      <c r="E777" s="5"/>
      <c r="F777" s="5"/>
      <c r="G777" s="5"/>
      <c r="H777" s="5"/>
      <c r="I777" s="5"/>
      <c r="J777" s="5"/>
    </row>
    <row r="778">
      <c r="A778" s="13"/>
      <c r="B778" s="5"/>
      <c r="C778" s="5"/>
      <c r="D778" s="5"/>
      <c r="E778" s="5"/>
      <c r="F778" s="5"/>
      <c r="G778" s="5"/>
      <c r="H778" s="5"/>
      <c r="I778" s="5"/>
      <c r="J778" s="5"/>
    </row>
    <row r="779">
      <c r="A779" s="13"/>
      <c r="B779" s="5"/>
      <c r="C779" s="5"/>
      <c r="D779" s="5"/>
      <c r="E779" s="5"/>
      <c r="F779" s="5"/>
      <c r="G779" s="5"/>
      <c r="H779" s="5"/>
      <c r="I779" s="5"/>
      <c r="J779" s="5"/>
    </row>
    <row r="780">
      <c r="A780" s="13"/>
      <c r="B780" s="5"/>
      <c r="C780" s="5"/>
      <c r="D780" s="5"/>
      <c r="E780" s="5"/>
      <c r="F780" s="5"/>
      <c r="G780" s="5"/>
      <c r="H780" s="5"/>
      <c r="I780" s="5"/>
      <c r="J780" s="5"/>
    </row>
    <row r="781">
      <c r="A781" s="13"/>
      <c r="B781" s="5"/>
      <c r="C781" s="5"/>
      <c r="D781" s="5"/>
      <c r="E781" s="5"/>
      <c r="F781" s="5"/>
      <c r="G781" s="5"/>
      <c r="H781" s="5"/>
      <c r="I781" s="5"/>
      <c r="J781" s="5"/>
    </row>
    <row r="782">
      <c r="A782" s="13"/>
      <c r="B782" s="5"/>
      <c r="C782" s="5"/>
      <c r="D782" s="5"/>
      <c r="E782" s="5"/>
      <c r="F782" s="5"/>
      <c r="G782" s="5"/>
      <c r="H782" s="5"/>
      <c r="I782" s="5"/>
      <c r="J782" s="5"/>
    </row>
    <row r="783">
      <c r="A783" s="13"/>
      <c r="B783" s="5"/>
      <c r="C783" s="5"/>
      <c r="D783" s="5"/>
      <c r="E783" s="5"/>
      <c r="F783" s="5"/>
      <c r="G783" s="5"/>
      <c r="H783" s="5"/>
      <c r="I783" s="5"/>
      <c r="J783" s="5"/>
    </row>
    <row r="784">
      <c r="A784" s="13"/>
      <c r="B784" s="5"/>
      <c r="C784" s="5"/>
      <c r="D784" s="5"/>
      <c r="E784" s="5"/>
      <c r="F784" s="5"/>
      <c r="G784" s="5"/>
      <c r="H784" s="5"/>
      <c r="I784" s="5"/>
      <c r="J784" s="5"/>
    </row>
    <row r="785">
      <c r="A785" s="13"/>
      <c r="B785" s="5"/>
      <c r="C785" s="5"/>
      <c r="D785" s="5"/>
      <c r="E785" s="5"/>
      <c r="F785" s="5"/>
      <c r="G785" s="5"/>
      <c r="H785" s="5"/>
      <c r="I785" s="5"/>
      <c r="J785" s="5"/>
    </row>
    <row r="786">
      <c r="A786" s="13"/>
      <c r="B786" s="5"/>
      <c r="C786" s="5"/>
      <c r="D786" s="5"/>
      <c r="E786" s="5"/>
      <c r="F786" s="5"/>
      <c r="G786" s="5"/>
      <c r="H786" s="5"/>
      <c r="I786" s="5"/>
      <c r="J786" s="5"/>
    </row>
    <row r="787">
      <c r="A787" s="13"/>
      <c r="B787" s="5"/>
      <c r="C787" s="5"/>
      <c r="D787" s="5"/>
      <c r="E787" s="5"/>
      <c r="F787" s="5"/>
      <c r="G787" s="5"/>
      <c r="H787" s="5"/>
      <c r="I787" s="5"/>
      <c r="J787" s="5"/>
    </row>
    <row r="788">
      <c r="A788" s="13"/>
      <c r="B788" s="5"/>
      <c r="C788" s="5"/>
      <c r="D788" s="5"/>
      <c r="E788" s="5"/>
      <c r="F788" s="5"/>
      <c r="G788" s="5"/>
      <c r="H788" s="5"/>
      <c r="I788" s="5"/>
      <c r="J788" s="5"/>
    </row>
    <row r="789">
      <c r="A789" s="13"/>
      <c r="B789" s="5"/>
      <c r="C789" s="5"/>
      <c r="D789" s="5"/>
      <c r="E789" s="5"/>
      <c r="F789" s="5"/>
      <c r="G789" s="5"/>
      <c r="H789" s="5"/>
      <c r="I789" s="5"/>
      <c r="J789" s="5"/>
    </row>
    <row r="790">
      <c r="A790" s="13"/>
      <c r="B790" s="5"/>
      <c r="C790" s="5"/>
      <c r="D790" s="5"/>
      <c r="E790" s="5"/>
      <c r="F790" s="5"/>
      <c r="G790" s="5"/>
      <c r="H790" s="5"/>
      <c r="I790" s="5"/>
      <c r="J790" s="5"/>
    </row>
    <row r="791">
      <c r="A791" s="13"/>
      <c r="B791" s="5"/>
      <c r="C791" s="5"/>
      <c r="D791" s="5"/>
      <c r="E791" s="5"/>
      <c r="F791" s="5"/>
      <c r="G791" s="5"/>
      <c r="H791" s="5"/>
      <c r="I791" s="5"/>
      <c r="J791" s="5"/>
    </row>
    <row r="792">
      <c r="A792" s="13"/>
      <c r="B792" s="5"/>
      <c r="C792" s="5"/>
      <c r="D792" s="5"/>
      <c r="E792" s="5"/>
      <c r="F792" s="5"/>
      <c r="G792" s="5"/>
      <c r="H792" s="5"/>
      <c r="I792" s="5"/>
      <c r="J792" s="5"/>
    </row>
    <row r="793">
      <c r="A793" s="13"/>
      <c r="B793" s="5"/>
      <c r="C793" s="5"/>
      <c r="D793" s="5"/>
      <c r="E793" s="5"/>
      <c r="F793" s="5"/>
      <c r="G793" s="5"/>
      <c r="H793" s="5"/>
      <c r="I793" s="5"/>
      <c r="J793" s="5"/>
    </row>
    <row r="794">
      <c r="A794" s="13"/>
      <c r="B794" s="5"/>
      <c r="C794" s="5"/>
      <c r="D794" s="5"/>
      <c r="E794" s="5"/>
      <c r="F794" s="5"/>
      <c r="G794" s="5"/>
      <c r="H794" s="5"/>
      <c r="I794" s="5"/>
      <c r="J794" s="5"/>
    </row>
    <row r="795">
      <c r="A795" s="13"/>
      <c r="B795" s="5"/>
      <c r="C795" s="5"/>
      <c r="D795" s="5"/>
      <c r="E795" s="5"/>
      <c r="F795" s="5"/>
      <c r="G795" s="5"/>
      <c r="H795" s="5"/>
      <c r="I795" s="5"/>
      <c r="J795" s="5"/>
    </row>
    <row r="796">
      <c r="A796" s="13"/>
      <c r="B796" s="5"/>
      <c r="C796" s="5"/>
      <c r="D796" s="5"/>
      <c r="E796" s="5"/>
      <c r="F796" s="5"/>
      <c r="G796" s="5"/>
      <c r="H796" s="5"/>
      <c r="I796" s="5"/>
      <c r="J796" s="5"/>
    </row>
    <row r="797">
      <c r="A797" s="13"/>
      <c r="B797" s="5"/>
      <c r="C797" s="5"/>
      <c r="D797" s="5"/>
      <c r="E797" s="5"/>
      <c r="F797" s="5"/>
      <c r="G797" s="5"/>
      <c r="H797" s="5"/>
      <c r="I797" s="5"/>
      <c r="J797" s="5"/>
    </row>
    <row r="798">
      <c r="A798" s="13"/>
      <c r="B798" s="5"/>
      <c r="C798" s="5"/>
      <c r="D798" s="5"/>
      <c r="E798" s="5"/>
      <c r="F798" s="5"/>
      <c r="G798" s="5"/>
      <c r="H798" s="5"/>
      <c r="I798" s="5"/>
      <c r="J798" s="5"/>
    </row>
    <row r="799">
      <c r="A799" s="13"/>
      <c r="B799" s="5"/>
      <c r="C799" s="5"/>
      <c r="D799" s="5"/>
      <c r="E799" s="5"/>
      <c r="F799" s="5"/>
      <c r="G799" s="5"/>
      <c r="H799" s="5"/>
      <c r="I799" s="5"/>
      <c r="J799" s="5"/>
    </row>
    <row r="800">
      <c r="A800" s="13"/>
      <c r="B800" s="5"/>
      <c r="C800" s="5"/>
      <c r="D800" s="5"/>
      <c r="E800" s="5"/>
      <c r="F800" s="5"/>
      <c r="G800" s="5"/>
      <c r="H800" s="5"/>
      <c r="I800" s="5"/>
      <c r="J800" s="5"/>
    </row>
    <row r="801">
      <c r="A801" s="13"/>
      <c r="B801" s="5"/>
      <c r="C801" s="5"/>
      <c r="D801" s="5"/>
      <c r="E801" s="5"/>
      <c r="F801" s="5"/>
      <c r="G801" s="5"/>
      <c r="H801" s="5"/>
      <c r="I801" s="5"/>
      <c r="J801" s="5"/>
    </row>
    <row r="802">
      <c r="A802" s="13"/>
      <c r="B802" s="5"/>
      <c r="C802" s="5"/>
      <c r="D802" s="5"/>
      <c r="E802" s="5"/>
      <c r="F802" s="5"/>
      <c r="G802" s="5"/>
      <c r="H802" s="5"/>
      <c r="I802" s="5"/>
      <c r="J802" s="5"/>
    </row>
    <row r="803">
      <c r="A803" s="13"/>
      <c r="B803" s="5"/>
      <c r="C803" s="5"/>
      <c r="D803" s="5"/>
      <c r="E803" s="5"/>
      <c r="F803" s="5"/>
      <c r="G803" s="5"/>
      <c r="H803" s="5"/>
      <c r="I803" s="5"/>
      <c r="J803" s="5"/>
    </row>
    <row r="804">
      <c r="A804" s="13"/>
      <c r="B804" s="5"/>
      <c r="C804" s="5"/>
      <c r="D804" s="5"/>
      <c r="E804" s="5"/>
      <c r="F804" s="5"/>
      <c r="G804" s="5"/>
      <c r="H804" s="5"/>
      <c r="I804" s="5"/>
      <c r="J804" s="5"/>
    </row>
    <row r="805">
      <c r="A805" s="13"/>
      <c r="B805" s="5"/>
      <c r="C805" s="5"/>
      <c r="D805" s="5"/>
      <c r="E805" s="5"/>
      <c r="F805" s="5"/>
      <c r="G805" s="5"/>
      <c r="H805" s="5"/>
      <c r="I805" s="5"/>
      <c r="J805" s="5"/>
    </row>
    <row r="806">
      <c r="A806" s="13"/>
      <c r="B806" s="5"/>
      <c r="C806" s="5"/>
      <c r="D806" s="5"/>
      <c r="E806" s="5"/>
      <c r="F806" s="5"/>
      <c r="G806" s="5"/>
      <c r="H806" s="5"/>
      <c r="I806" s="5"/>
      <c r="J806" s="5"/>
    </row>
    <row r="807">
      <c r="A807" s="13"/>
      <c r="B807" s="5"/>
      <c r="C807" s="5"/>
      <c r="D807" s="5"/>
      <c r="E807" s="5"/>
      <c r="F807" s="5"/>
      <c r="G807" s="5"/>
      <c r="H807" s="5"/>
      <c r="I807" s="5"/>
      <c r="J807" s="5"/>
    </row>
    <row r="808">
      <c r="A808" s="13"/>
      <c r="B808" s="5"/>
      <c r="C808" s="5"/>
      <c r="D808" s="5"/>
      <c r="E808" s="5"/>
      <c r="F808" s="5"/>
      <c r="G808" s="5"/>
      <c r="H808" s="5"/>
      <c r="I808" s="5"/>
      <c r="J808" s="5"/>
    </row>
    <row r="809">
      <c r="A809" s="13"/>
      <c r="B809" s="5"/>
      <c r="C809" s="5"/>
      <c r="D809" s="5"/>
      <c r="E809" s="5"/>
      <c r="F809" s="5"/>
      <c r="G809" s="5"/>
      <c r="H809" s="5"/>
      <c r="I809" s="5"/>
      <c r="J809" s="5"/>
    </row>
    <row r="810">
      <c r="A810" s="13"/>
      <c r="B810" s="5"/>
      <c r="C810" s="5"/>
      <c r="D810" s="5"/>
      <c r="E810" s="5"/>
      <c r="F810" s="5"/>
      <c r="G810" s="5"/>
      <c r="H810" s="5"/>
      <c r="I810" s="5"/>
      <c r="J810" s="5"/>
    </row>
    <row r="811">
      <c r="A811" s="13"/>
      <c r="B811" s="5"/>
      <c r="C811" s="5"/>
      <c r="D811" s="5"/>
      <c r="E811" s="5"/>
      <c r="F811" s="5"/>
      <c r="G811" s="5"/>
      <c r="H811" s="5"/>
      <c r="I811" s="5"/>
      <c r="J811" s="5"/>
    </row>
    <row r="812">
      <c r="A812" s="13"/>
      <c r="B812" s="5"/>
      <c r="C812" s="5"/>
      <c r="D812" s="5"/>
      <c r="E812" s="5"/>
      <c r="F812" s="5"/>
      <c r="G812" s="5"/>
      <c r="H812" s="5"/>
      <c r="I812" s="5"/>
      <c r="J812" s="5"/>
    </row>
    <row r="813">
      <c r="A813" s="13"/>
      <c r="B813" s="5"/>
      <c r="C813" s="5"/>
      <c r="D813" s="5"/>
      <c r="E813" s="5"/>
      <c r="F813" s="5"/>
      <c r="G813" s="5"/>
      <c r="H813" s="5"/>
      <c r="I813" s="5"/>
      <c r="J813" s="5"/>
    </row>
    <row r="814">
      <c r="A814" s="13"/>
      <c r="B814" s="5"/>
      <c r="C814" s="5"/>
      <c r="D814" s="5"/>
      <c r="E814" s="5"/>
      <c r="F814" s="5"/>
      <c r="G814" s="5"/>
      <c r="H814" s="5"/>
      <c r="I814" s="5"/>
      <c r="J814" s="5"/>
    </row>
    <row r="815">
      <c r="A815" s="13"/>
      <c r="B815" s="5"/>
      <c r="C815" s="5"/>
      <c r="D815" s="5"/>
      <c r="E815" s="5"/>
      <c r="F815" s="5"/>
      <c r="G815" s="5"/>
      <c r="H815" s="5"/>
      <c r="I815" s="5"/>
      <c r="J815" s="5"/>
    </row>
    <row r="816">
      <c r="A816" s="13"/>
      <c r="B816" s="5"/>
      <c r="C816" s="5"/>
      <c r="D816" s="5"/>
      <c r="E816" s="5"/>
      <c r="F816" s="5"/>
      <c r="G816" s="5"/>
      <c r="H816" s="5"/>
      <c r="I816" s="5"/>
      <c r="J816" s="5"/>
    </row>
    <row r="817">
      <c r="A817" s="13"/>
      <c r="B817" s="5"/>
      <c r="C817" s="5"/>
      <c r="D817" s="5"/>
      <c r="E817" s="5"/>
      <c r="F817" s="5"/>
      <c r="G817" s="5"/>
      <c r="H817" s="5"/>
      <c r="I817" s="5"/>
      <c r="J817" s="5"/>
    </row>
    <row r="818">
      <c r="A818" s="13"/>
      <c r="B818" s="5"/>
      <c r="C818" s="5"/>
      <c r="D818" s="5"/>
      <c r="E818" s="5"/>
      <c r="F818" s="5"/>
      <c r="G818" s="5"/>
      <c r="H818" s="5"/>
      <c r="I818" s="5"/>
      <c r="J818" s="5"/>
    </row>
    <row r="819">
      <c r="A819" s="13"/>
      <c r="B819" s="5"/>
      <c r="C819" s="5"/>
      <c r="D819" s="5"/>
      <c r="E819" s="5"/>
      <c r="F819" s="5"/>
      <c r="G819" s="5"/>
      <c r="H819" s="5"/>
      <c r="I819" s="5"/>
      <c r="J819" s="5"/>
    </row>
    <row r="820">
      <c r="A820" s="13"/>
      <c r="B820" s="5"/>
      <c r="C820" s="5"/>
      <c r="D820" s="5"/>
      <c r="E820" s="5"/>
      <c r="F820" s="5"/>
      <c r="G820" s="5"/>
      <c r="H820" s="5"/>
      <c r="I820" s="5"/>
      <c r="J820" s="5"/>
    </row>
    <row r="821">
      <c r="A821" s="13"/>
      <c r="B821" s="5"/>
      <c r="C821" s="5"/>
      <c r="D821" s="5"/>
      <c r="E821" s="5"/>
      <c r="F821" s="5"/>
      <c r="G821" s="5"/>
      <c r="H821" s="5"/>
      <c r="I821" s="5"/>
      <c r="J821" s="5"/>
    </row>
    <row r="822">
      <c r="A822" s="13"/>
      <c r="B822" s="5"/>
      <c r="C822" s="5"/>
      <c r="D822" s="5"/>
      <c r="E822" s="5"/>
      <c r="F822" s="5"/>
      <c r="G822" s="5"/>
      <c r="H822" s="5"/>
      <c r="I822" s="5"/>
      <c r="J822" s="5"/>
    </row>
    <row r="823">
      <c r="A823" s="13"/>
      <c r="B823" s="5"/>
      <c r="C823" s="5"/>
      <c r="D823" s="5"/>
      <c r="E823" s="5"/>
      <c r="F823" s="5"/>
      <c r="G823" s="5"/>
      <c r="H823" s="5"/>
      <c r="I823" s="5"/>
      <c r="J823" s="5"/>
    </row>
    <row r="824">
      <c r="A824" s="13"/>
      <c r="B824" s="5"/>
      <c r="C824" s="5"/>
      <c r="D824" s="5"/>
      <c r="E824" s="5"/>
      <c r="F824" s="5"/>
      <c r="G824" s="5"/>
      <c r="H824" s="5"/>
      <c r="I824" s="5"/>
      <c r="J824" s="5"/>
    </row>
    <row r="825">
      <c r="A825" s="13"/>
      <c r="B825" s="5"/>
      <c r="C825" s="5"/>
      <c r="D825" s="5"/>
      <c r="E825" s="5"/>
      <c r="F825" s="5"/>
      <c r="G825" s="5"/>
      <c r="H825" s="5"/>
      <c r="I825" s="5"/>
      <c r="J825" s="5"/>
    </row>
    <row r="826">
      <c r="A826" s="13"/>
      <c r="B826" s="5"/>
      <c r="C826" s="5"/>
      <c r="D826" s="5"/>
      <c r="E826" s="5"/>
      <c r="F826" s="5"/>
      <c r="G826" s="5"/>
      <c r="H826" s="5"/>
      <c r="I826" s="5"/>
      <c r="J826" s="5"/>
    </row>
    <row r="827">
      <c r="A827" s="13"/>
      <c r="B827" s="5"/>
      <c r="C827" s="5"/>
      <c r="D827" s="5"/>
      <c r="E827" s="5"/>
      <c r="F827" s="5"/>
      <c r="G827" s="5"/>
      <c r="H827" s="5"/>
      <c r="I827" s="5"/>
      <c r="J827" s="5"/>
    </row>
    <row r="828">
      <c r="A828" s="13"/>
      <c r="B828" s="5"/>
      <c r="C828" s="5"/>
      <c r="D828" s="5"/>
      <c r="E828" s="5"/>
      <c r="F828" s="5"/>
      <c r="G828" s="5"/>
      <c r="H828" s="5"/>
      <c r="I828" s="5"/>
      <c r="J828" s="5"/>
    </row>
    <row r="829">
      <c r="A829" s="13"/>
      <c r="B829" s="5"/>
      <c r="C829" s="5"/>
      <c r="D829" s="5"/>
      <c r="E829" s="5"/>
      <c r="F829" s="5"/>
      <c r="G829" s="5"/>
      <c r="H829" s="5"/>
      <c r="I829" s="5"/>
      <c r="J829" s="5"/>
    </row>
    <row r="830">
      <c r="A830" s="13"/>
      <c r="B830" s="5"/>
      <c r="C830" s="5"/>
      <c r="D830" s="5"/>
      <c r="E830" s="5"/>
      <c r="F830" s="5"/>
      <c r="G830" s="5"/>
      <c r="H830" s="5"/>
      <c r="I830" s="5"/>
      <c r="J830" s="5"/>
    </row>
    <row r="831">
      <c r="A831" s="13"/>
      <c r="B831" s="5"/>
      <c r="C831" s="5"/>
      <c r="D831" s="5"/>
      <c r="E831" s="5"/>
      <c r="F831" s="5"/>
      <c r="G831" s="5"/>
      <c r="H831" s="5"/>
      <c r="I831" s="5"/>
      <c r="J831" s="5"/>
    </row>
    <row r="832">
      <c r="A832" s="13"/>
      <c r="B832" s="5"/>
      <c r="C832" s="5"/>
      <c r="D832" s="5"/>
      <c r="E832" s="5"/>
      <c r="F832" s="5"/>
      <c r="G832" s="5"/>
      <c r="H832" s="5"/>
      <c r="I832" s="5"/>
      <c r="J832" s="5"/>
    </row>
    <row r="833">
      <c r="A833" s="13"/>
      <c r="B833" s="5"/>
      <c r="C833" s="5"/>
      <c r="D833" s="5"/>
      <c r="E833" s="5"/>
      <c r="F833" s="5"/>
      <c r="G833" s="5"/>
      <c r="H833" s="5"/>
      <c r="I833" s="5"/>
      <c r="J833" s="5"/>
    </row>
    <row r="834">
      <c r="A834" s="13"/>
      <c r="B834" s="5"/>
      <c r="C834" s="5"/>
      <c r="D834" s="5"/>
      <c r="E834" s="5"/>
      <c r="F834" s="5"/>
      <c r="G834" s="5"/>
      <c r="H834" s="5"/>
      <c r="I834" s="5"/>
      <c r="J834" s="5"/>
    </row>
    <row r="835">
      <c r="A835" s="13"/>
      <c r="B835" s="5"/>
      <c r="C835" s="5"/>
      <c r="D835" s="5"/>
      <c r="E835" s="5"/>
      <c r="F835" s="5"/>
      <c r="G835" s="5"/>
      <c r="H835" s="5"/>
      <c r="I835" s="5"/>
      <c r="J835" s="5"/>
    </row>
    <row r="836">
      <c r="A836" s="13"/>
      <c r="B836" s="5"/>
      <c r="C836" s="5"/>
      <c r="D836" s="5"/>
      <c r="E836" s="5"/>
      <c r="F836" s="5"/>
      <c r="G836" s="5"/>
      <c r="H836" s="5"/>
      <c r="I836" s="5"/>
      <c r="J836" s="5"/>
    </row>
    <row r="837">
      <c r="A837" s="13"/>
      <c r="B837" s="5"/>
      <c r="C837" s="5"/>
      <c r="D837" s="5"/>
      <c r="E837" s="5"/>
      <c r="F837" s="5"/>
      <c r="G837" s="5"/>
      <c r="H837" s="5"/>
      <c r="I837" s="5"/>
      <c r="J837" s="5"/>
    </row>
    <row r="838">
      <c r="A838" s="13"/>
      <c r="B838" s="5"/>
      <c r="C838" s="5"/>
      <c r="D838" s="5"/>
      <c r="E838" s="5"/>
      <c r="F838" s="5"/>
      <c r="G838" s="5"/>
      <c r="H838" s="5"/>
      <c r="I838" s="5"/>
      <c r="J838" s="5"/>
    </row>
    <row r="839">
      <c r="A839" s="13"/>
      <c r="B839" s="5"/>
      <c r="C839" s="5"/>
      <c r="D839" s="5"/>
      <c r="E839" s="5"/>
      <c r="F839" s="5"/>
      <c r="G839" s="5"/>
      <c r="H839" s="5"/>
      <c r="I839" s="5"/>
      <c r="J839" s="5"/>
    </row>
    <row r="840">
      <c r="A840" s="13"/>
      <c r="B840" s="5"/>
      <c r="C840" s="5"/>
      <c r="D840" s="5"/>
      <c r="E840" s="5"/>
      <c r="F840" s="5"/>
      <c r="G840" s="5"/>
      <c r="H840" s="5"/>
      <c r="I840" s="5"/>
      <c r="J840" s="5"/>
    </row>
    <row r="841">
      <c r="A841" s="13"/>
      <c r="B841" s="5"/>
      <c r="C841" s="5"/>
      <c r="D841" s="5"/>
      <c r="E841" s="5"/>
      <c r="F841" s="5"/>
      <c r="G841" s="5"/>
      <c r="H841" s="5"/>
      <c r="I841" s="5"/>
      <c r="J841" s="5"/>
    </row>
    <row r="842">
      <c r="A842" s="13"/>
      <c r="B842" s="5"/>
      <c r="C842" s="5"/>
      <c r="D842" s="5"/>
      <c r="E842" s="5"/>
      <c r="F842" s="5"/>
      <c r="G842" s="5"/>
      <c r="H842" s="5"/>
      <c r="I842" s="5"/>
      <c r="J842" s="5"/>
    </row>
    <row r="843">
      <c r="A843" s="13"/>
      <c r="B843" s="5"/>
      <c r="C843" s="5"/>
      <c r="D843" s="5"/>
      <c r="E843" s="5"/>
      <c r="F843" s="5"/>
      <c r="G843" s="5"/>
      <c r="H843" s="5"/>
      <c r="I843" s="5"/>
      <c r="J843" s="5"/>
    </row>
    <row r="844">
      <c r="A844" s="13"/>
      <c r="B844" s="5"/>
      <c r="C844" s="5"/>
      <c r="D844" s="5"/>
      <c r="E844" s="5"/>
      <c r="F844" s="5"/>
      <c r="G844" s="5"/>
      <c r="H844" s="5"/>
      <c r="I844" s="5"/>
      <c r="J844" s="5"/>
    </row>
    <row r="845">
      <c r="A845" s="13"/>
      <c r="B845" s="5"/>
      <c r="C845" s="5"/>
      <c r="D845" s="5"/>
      <c r="E845" s="5"/>
      <c r="F845" s="5"/>
      <c r="G845" s="5"/>
      <c r="H845" s="5"/>
      <c r="I845" s="5"/>
      <c r="J845" s="5"/>
    </row>
    <row r="846">
      <c r="A846" s="13"/>
      <c r="B846" s="5"/>
      <c r="C846" s="5"/>
      <c r="D846" s="5"/>
      <c r="E846" s="5"/>
      <c r="F846" s="5"/>
      <c r="G846" s="5"/>
      <c r="H846" s="5"/>
      <c r="I846" s="5"/>
      <c r="J846" s="5"/>
    </row>
    <row r="847">
      <c r="A847" s="13"/>
      <c r="B847" s="5"/>
      <c r="C847" s="5"/>
      <c r="D847" s="5"/>
      <c r="E847" s="5"/>
      <c r="F847" s="5"/>
      <c r="G847" s="5"/>
      <c r="H847" s="5"/>
      <c r="I847" s="5"/>
      <c r="J847" s="5"/>
    </row>
    <row r="848">
      <c r="A848" s="13"/>
      <c r="B848" s="5"/>
      <c r="C848" s="5"/>
      <c r="D848" s="5"/>
      <c r="E848" s="5"/>
      <c r="F848" s="5"/>
      <c r="G848" s="5"/>
      <c r="H848" s="5"/>
      <c r="I848" s="5"/>
      <c r="J848" s="5"/>
    </row>
    <row r="849">
      <c r="A849" s="13"/>
      <c r="B849" s="5"/>
      <c r="C849" s="5"/>
      <c r="D849" s="5"/>
      <c r="E849" s="5"/>
      <c r="F849" s="5"/>
      <c r="G849" s="5"/>
      <c r="H849" s="5"/>
      <c r="I849" s="5"/>
      <c r="J849" s="5"/>
    </row>
    <row r="850">
      <c r="A850" s="13"/>
      <c r="B850" s="5"/>
      <c r="C850" s="5"/>
      <c r="D850" s="5"/>
      <c r="E850" s="5"/>
      <c r="F850" s="5"/>
      <c r="G850" s="5"/>
      <c r="H850" s="5"/>
      <c r="I850" s="5"/>
      <c r="J850" s="5"/>
    </row>
    <row r="851">
      <c r="A851" s="13"/>
      <c r="B851" s="5"/>
      <c r="C851" s="5"/>
      <c r="D851" s="5"/>
      <c r="E851" s="5"/>
      <c r="F851" s="5"/>
      <c r="G851" s="5"/>
      <c r="H851" s="5"/>
      <c r="I851" s="5"/>
      <c r="J851" s="5"/>
    </row>
    <row r="852">
      <c r="A852" s="13"/>
      <c r="B852" s="5"/>
      <c r="C852" s="5"/>
      <c r="D852" s="5"/>
      <c r="E852" s="5"/>
      <c r="F852" s="5"/>
      <c r="G852" s="5"/>
      <c r="H852" s="5"/>
      <c r="I852" s="5"/>
      <c r="J852" s="5"/>
    </row>
    <row r="853">
      <c r="A853" s="13"/>
      <c r="B853" s="5"/>
      <c r="C853" s="5"/>
      <c r="D853" s="5"/>
      <c r="E853" s="5"/>
      <c r="F853" s="5"/>
      <c r="G853" s="5"/>
      <c r="H853" s="5"/>
      <c r="I853" s="5"/>
      <c r="J853" s="5"/>
    </row>
    <row r="854">
      <c r="A854" s="13"/>
      <c r="B854" s="5"/>
      <c r="C854" s="5"/>
      <c r="D854" s="5"/>
      <c r="E854" s="5"/>
      <c r="F854" s="5"/>
      <c r="G854" s="5"/>
      <c r="H854" s="5"/>
      <c r="I854" s="5"/>
      <c r="J854" s="5"/>
    </row>
    <row r="855">
      <c r="A855" s="13"/>
      <c r="B855" s="5"/>
      <c r="C855" s="5"/>
      <c r="D855" s="5"/>
      <c r="E855" s="5"/>
      <c r="F855" s="5"/>
      <c r="G855" s="5"/>
      <c r="H855" s="5"/>
      <c r="I855" s="5"/>
      <c r="J855" s="5"/>
    </row>
    <row r="856">
      <c r="A856" s="13"/>
      <c r="B856" s="5"/>
      <c r="C856" s="5"/>
      <c r="D856" s="5"/>
      <c r="E856" s="5"/>
      <c r="F856" s="5"/>
      <c r="G856" s="5"/>
      <c r="H856" s="5"/>
      <c r="I856" s="5"/>
      <c r="J856" s="5"/>
    </row>
    <row r="857">
      <c r="A857" s="13"/>
      <c r="B857" s="5"/>
      <c r="C857" s="5"/>
      <c r="D857" s="5"/>
      <c r="E857" s="5"/>
      <c r="F857" s="5"/>
      <c r="G857" s="5"/>
      <c r="H857" s="5"/>
      <c r="I857" s="5"/>
      <c r="J857" s="5"/>
    </row>
    <row r="858">
      <c r="A858" s="13"/>
      <c r="B858" s="5"/>
      <c r="C858" s="5"/>
      <c r="D858" s="5"/>
      <c r="E858" s="5"/>
      <c r="F858" s="5"/>
      <c r="G858" s="5"/>
      <c r="H858" s="5"/>
      <c r="I858" s="5"/>
      <c r="J858" s="5"/>
    </row>
    <row r="859">
      <c r="A859" s="13"/>
      <c r="B859" s="5"/>
      <c r="C859" s="5"/>
      <c r="D859" s="5"/>
      <c r="E859" s="5"/>
      <c r="F859" s="5"/>
      <c r="G859" s="5"/>
      <c r="H859" s="5"/>
      <c r="I859" s="5"/>
      <c r="J859" s="5"/>
    </row>
    <row r="860">
      <c r="A860" s="13"/>
      <c r="B860" s="5"/>
      <c r="C860" s="5"/>
      <c r="D860" s="5"/>
      <c r="E860" s="5"/>
      <c r="F860" s="5"/>
      <c r="G860" s="5"/>
      <c r="H860" s="5"/>
      <c r="I860" s="5"/>
      <c r="J860" s="5"/>
    </row>
    <row r="861">
      <c r="A861" s="13"/>
      <c r="B861" s="5"/>
      <c r="C861" s="5"/>
      <c r="D861" s="5"/>
      <c r="E861" s="5"/>
      <c r="F861" s="5"/>
      <c r="G861" s="5"/>
      <c r="H861" s="5"/>
      <c r="I861" s="5"/>
      <c r="J861" s="5"/>
    </row>
    <row r="862">
      <c r="A862" s="13"/>
      <c r="B862" s="5"/>
      <c r="C862" s="5"/>
      <c r="D862" s="5"/>
      <c r="E862" s="5"/>
      <c r="F862" s="5"/>
      <c r="G862" s="5"/>
      <c r="H862" s="5"/>
      <c r="I862" s="5"/>
      <c r="J862" s="5"/>
    </row>
    <row r="863">
      <c r="A863" s="13"/>
      <c r="B863" s="5"/>
      <c r="C863" s="5"/>
      <c r="D863" s="5"/>
      <c r="E863" s="5"/>
      <c r="F863" s="5"/>
      <c r="G863" s="5"/>
      <c r="H863" s="5"/>
      <c r="I863" s="5"/>
      <c r="J863" s="5"/>
    </row>
    <row r="864">
      <c r="A864" s="13"/>
      <c r="B864" s="5"/>
      <c r="C864" s="5"/>
      <c r="D864" s="5"/>
      <c r="E864" s="5"/>
      <c r="F864" s="5"/>
      <c r="G864" s="5"/>
      <c r="H864" s="5"/>
      <c r="I864" s="5"/>
      <c r="J864" s="5"/>
    </row>
    <row r="865">
      <c r="A865" s="13"/>
      <c r="B865" s="5"/>
      <c r="C865" s="5"/>
      <c r="D865" s="5"/>
      <c r="E865" s="5"/>
      <c r="F865" s="5"/>
      <c r="G865" s="5"/>
      <c r="H865" s="5"/>
      <c r="I865" s="5"/>
      <c r="J865" s="5"/>
    </row>
    <row r="866">
      <c r="A866" s="13"/>
      <c r="B866" s="5"/>
      <c r="C866" s="5"/>
      <c r="D866" s="5"/>
      <c r="E866" s="5"/>
      <c r="F866" s="5"/>
      <c r="G866" s="5"/>
      <c r="H866" s="5"/>
      <c r="I866" s="5"/>
      <c r="J866" s="5"/>
    </row>
    <row r="867">
      <c r="A867" s="13"/>
      <c r="B867" s="5"/>
      <c r="C867" s="5"/>
      <c r="D867" s="5"/>
      <c r="E867" s="5"/>
      <c r="F867" s="5"/>
      <c r="G867" s="5"/>
      <c r="H867" s="5"/>
      <c r="I867" s="5"/>
      <c r="J867" s="5"/>
    </row>
    <row r="868">
      <c r="A868" s="13"/>
      <c r="B868" s="5"/>
      <c r="C868" s="5"/>
      <c r="D868" s="5"/>
      <c r="E868" s="5"/>
      <c r="F868" s="5"/>
      <c r="G868" s="5"/>
      <c r="H868" s="5"/>
      <c r="I868" s="5"/>
      <c r="J868" s="5"/>
    </row>
    <row r="869">
      <c r="A869" s="13"/>
      <c r="B869" s="5"/>
      <c r="C869" s="5"/>
      <c r="D869" s="5"/>
      <c r="E869" s="5"/>
      <c r="F869" s="5"/>
      <c r="G869" s="5"/>
      <c r="H869" s="5"/>
      <c r="I869" s="5"/>
      <c r="J869" s="5"/>
    </row>
    <row r="870">
      <c r="A870" s="13"/>
      <c r="B870" s="5"/>
      <c r="C870" s="5"/>
      <c r="D870" s="5"/>
      <c r="E870" s="5"/>
      <c r="F870" s="5"/>
      <c r="G870" s="5"/>
      <c r="H870" s="5"/>
      <c r="I870" s="5"/>
      <c r="J870" s="5"/>
    </row>
    <row r="871">
      <c r="A871" s="13"/>
      <c r="B871" s="5"/>
      <c r="C871" s="5"/>
      <c r="D871" s="5"/>
      <c r="E871" s="5"/>
      <c r="F871" s="5"/>
      <c r="G871" s="5"/>
      <c r="H871" s="5"/>
      <c r="I871" s="5"/>
      <c r="J871" s="5"/>
    </row>
    <row r="872">
      <c r="A872" s="13"/>
      <c r="B872" s="5"/>
      <c r="C872" s="5"/>
      <c r="D872" s="5"/>
      <c r="E872" s="5"/>
      <c r="F872" s="5"/>
      <c r="G872" s="5"/>
      <c r="H872" s="5"/>
      <c r="I872" s="5"/>
      <c r="J872" s="5"/>
    </row>
    <row r="873">
      <c r="A873" s="13"/>
      <c r="B873" s="5"/>
      <c r="C873" s="5"/>
      <c r="D873" s="5"/>
      <c r="E873" s="5"/>
      <c r="F873" s="5"/>
      <c r="G873" s="5"/>
      <c r="H873" s="5"/>
      <c r="I873" s="5"/>
      <c r="J873" s="5"/>
    </row>
    <row r="874">
      <c r="A874" s="13"/>
      <c r="B874" s="5"/>
      <c r="C874" s="5"/>
      <c r="D874" s="5"/>
      <c r="E874" s="5"/>
      <c r="F874" s="5"/>
      <c r="G874" s="5"/>
      <c r="H874" s="5"/>
      <c r="I874" s="5"/>
      <c r="J874" s="5"/>
    </row>
    <row r="875">
      <c r="A875" s="13"/>
      <c r="B875" s="5"/>
      <c r="C875" s="5"/>
      <c r="D875" s="5"/>
      <c r="E875" s="5"/>
      <c r="F875" s="5"/>
      <c r="G875" s="5"/>
      <c r="H875" s="5"/>
      <c r="I875" s="5"/>
      <c r="J875" s="5"/>
    </row>
    <row r="876">
      <c r="A876" s="13"/>
      <c r="B876" s="5"/>
      <c r="C876" s="5"/>
      <c r="D876" s="5"/>
      <c r="E876" s="5"/>
      <c r="F876" s="5"/>
      <c r="G876" s="5"/>
      <c r="H876" s="5"/>
      <c r="I876" s="5"/>
      <c r="J876" s="5"/>
    </row>
    <row r="877">
      <c r="A877" s="13"/>
      <c r="B877" s="5"/>
      <c r="C877" s="5"/>
      <c r="D877" s="5"/>
      <c r="E877" s="5"/>
      <c r="F877" s="5"/>
      <c r="G877" s="5"/>
      <c r="H877" s="5"/>
      <c r="I877" s="5"/>
      <c r="J877" s="5"/>
    </row>
    <row r="878">
      <c r="A878" s="13"/>
      <c r="B878" s="5"/>
      <c r="C878" s="5"/>
      <c r="D878" s="5"/>
      <c r="E878" s="5"/>
      <c r="F878" s="5"/>
      <c r="G878" s="5"/>
      <c r="H878" s="5"/>
      <c r="I878" s="5"/>
      <c r="J878" s="5"/>
    </row>
    <row r="879">
      <c r="A879" s="13"/>
      <c r="B879" s="5"/>
      <c r="C879" s="5"/>
      <c r="D879" s="5"/>
      <c r="E879" s="5"/>
      <c r="F879" s="5"/>
      <c r="G879" s="5"/>
      <c r="H879" s="5"/>
      <c r="I879" s="5"/>
      <c r="J879" s="5"/>
    </row>
    <row r="880">
      <c r="A880" s="13"/>
      <c r="B880" s="5"/>
      <c r="C880" s="5"/>
      <c r="D880" s="5"/>
      <c r="E880" s="5"/>
      <c r="F880" s="5"/>
      <c r="G880" s="5"/>
      <c r="H880" s="5"/>
      <c r="I880" s="5"/>
      <c r="J880" s="5"/>
    </row>
    <row r="881">
      <c r="A881" s="13"/>
      <c r="B881" s="5"/>
      <c r="C881" s="5"/>
      <c r="D881" s="5"/>
      <c r="E881" s="5"/>
      <c r="F881" s="5"/>
      <c r="G881" s="5"/>
      <c r="H881" s="5"/>
      <c r="I881" s="5"/>
      <c r="J881" s="5"/>
    </row>
    <row r="882">
      <c r="A882" s="13"/>
      <c r="B882" s="5"/>
      <c r="C882" s="5"/>
      <c r="D882" s="5"/>
      <c r="E882" s="5"/>
      <c r="F882" s="5"/>
      <c r="G882" s="5"/>
      <c r="H882" s="5"/>
      <c r="I882" s="5"/>
      <c r="J882" s="5"/>
    </row>
    <row r="883">
      <c r="A883" s="13"/>
      <c r="B883" s="5"/>
      <c r="C883" s="5"/>
      <c r="D883" s="5"/>
      <c r="E883" s="5"/>
      <c r="F883" s="5"/>
      <c r="G883" s="5"/>
      <c r="H883" s="5"/>
      <c r="I883" s="5"/>
      <c r="J883" s="5"/>
    </row>
    <row r="884">
      <c r="A884" s="13"/>
      <c r="B884" s="5"/>
      <c r="C884" s="5"/>
      <c r="D884" s="5"/>
      <c r="E884" s="5"/>
      <c r="F884" s="5"/>
      <c r="G884" s="5"/>
      <c r="H884" s="5"/>
      <c r="I884" s="5"/>
      <c r="J884" s="5"/>
    </row>
    <row r="885">
      <c r="A885" s="13"/>
      <c r="B885" s="5"/>
      <c r="C885" s="5"/>
      <c r="D885" s="5"/>
      <c r="E885" s="5"/>
      <c r="F885" s="5"/>
      <c r="G885" s="5"/>
      <c r="H885" s="5"/>
      <c r="I885" s="5"/>
      <c r="J885" s="5"/>
    </row>
    <row r="886">
      <c r="A886" s="13"/>
      <c r="B886" s="5"/>
      <c r="C886" s="5"/>
      <c r="D886" s="5"/>
      <c r="E886" s="5"/>
      <c r="F886" s="5"/>
      <c r="G886" s="5"/>
      <c r="H886" s="5"/>
      <c r="I886" s="5"/>
      <c r="J886" s="5"/>
    </row>
    <row r="887">
      <c r="A887" s="13"/>
      <c r="B887" s="5"/>
      <c r="C887" s="5"/>
      <c r="D887" s="5"/>
      <c r="E887" s="5"/>
      <c r="F887" s="5"/>
      <c r="G887" s="5"/>
      <c r="H887" s="5"/>
      <c r="I887" s="5"/>
      <c r="J887" s="5"/>
    </row>
    <row r="888">
      <c r="A888" s="13"/>
      <c r="B888" s="5"/>
      <c r="C888" s="5"/>
      <c r="D888" s="5"/>
      <c r="E888" s="5"/>
      <c r="F888" s="5"/>
      <c r="G888" s="5"/>
      <c r="H888" s="5"/>
      <c r="I888" s="5"/>
      <c r="J888" s="5"/>
    </row>
    <row r="889">
      <c r="A889" s="13"/>
      <c r="B889" s="5"/>
      <c r="C889" s="5"/>
      <c r="D889" s="5"/>
      <c r="E889" s="5"/>
      <c r="F889" s="5"/>
      <c r="G889" s="5"/>
      <c r="H889" s="5"/>
      <c r="I889" s="5"/>
      <c r="J889" s="5"/>
    </row>
    <row r="890">
      <c r="A890" s="13"/>
      <c r="B890" s="5"/>
      <c r="C890" s="5"/>
      <c r="D890" s="5"/>
      <c r="E890" s="5"/>
      <c r="F890" s="5"/>
      <c r="G890" s="5"/>
      <c r="H890" s="5"/>
      <c r="I890" s="5"/>
      <c r="J890" s="5"/>
    </row>
    <row r="891">
      <c r="A891" s="13"/>
      <c r="B891" s="5"/>
      <c r="C891" s="5"/>
      <c r="D891" s="5"/>
      <c r="E891" s="5"/>
      <c r="F891" s="5"/>
      <c r="G891" s="5"/>
      <c r="H891" s="5"/>
      <c r="I891" s="5"/>
      <c r="J891" s="5"/>
    </row>
    <row r="892">
      <c r="A892" s="13"/>
      <c r="B892" s="5"/>
      <c r="C892" s="5"/>
      <c r="D892" s="5"/>
      <c r="E892" s="5"/>
      <c r="F892" s="5"/>
      <c r="G892" s="5"/>
      <c r="H892" s="5"/>
      <c r="I892" s="5"/>
      <c r="J892" s="5"/>
    </row>
    <row r="893">
      <c r="A893" s="13"/>
      <c r="B893" s="5"/>
      <c r="C893" s="5"/>
      <c r="D893" s="5"/>
      <c r="E893" s="5"/>
      <c r="F893" s="5"/>
      <c r="G893" s="5"/>
      <c r="H893" s="5"/>
      <c r="I893" s="5"/>
      <c r="J893" s="5"/>
    </row>
    <row r="894">
      <c r="A894" s="13"/>
      <c r="B894" s="5"/>
      <c r="C894" s="5"/>
      <c r="D894" s="5"/>
      <c r="E894" s="5"/>
      <c r="F894" s="5"/>
      <c r="G894" s="5"/>
      <c r="H894" s="5"/>
      <c r="I894" s="5"/>
      <c r="J894" s="5"/>
    </row>
    <row r="895">
      <c r="A895" s="13"/>
      <c r="B895" s="5"/>
      <c r="C895" s="5"/>
      <c r="D895" s="5"/>
      <c r="E895" s="5"/>
      <c r="F895" s="5"/>
      <c r="G895" s="5"/>
      <c r="H895" s="5"/>
      <c r="I895" s="5"/>
      <c r="J895" s="5"/>
    </row>
    <row r="896">
      <c r="A896" s="13"/>
      <c r="B896" s="5"/>
      <c r="C896" s="5"/>
      <c r="D896" s="5"/>
      <c r="E896" s="5"/>
      <c r="F896" s="5"/>
      <c r="G896" s="5"/>
      <c r="H896" s="5"/>
      <c r="I896" s="5"/>
      <c r="J896" s="5"/>
    </row>
    <row r="897">
      <c r="A897" s="13"/>
      <c r="B897" s="5"/>
      <c r="C897" s="5"/>
      <c r="D897" s="5"/>
      <c r="E897" s="5"/>
      <c r="F897" s="5"/>
      <c r="G897" s="5"/>
      <c r="H897" s="5"/>
      <c r="I897" s="5"/>
      <c r="J897" s="5"/>
    </row>
    <row r="898">
      <c r="A898" s="13"/>
      <c r="B898" s="5"/>
      <c r="C898" s="5"/>
      <c r="D898" s="5"/>
      <c r="E898" s="5"/>
      <c r="F898" s="5"/>
      <c r="G898" s="5"/>
      <c r="H898" s="5"/>
      <c r="I898" s="5"/>
      <c r="J898" s="5"/>
    </row>
    <row r="899">
      <c r="A899" s="13"/>
      <c r="B899" s="5"/>
      <c r="C899" s="5"/>
      <c r="D899" s="5"/>
      <c r="E899" s="5"/>
      <c r="F899" s="5"/>
      <c r="G899" s="5"/>
      <c r="H899" s="5"/>
      <c r="I899" s="5"/>
      <c r="J899" s="5"/>
    </row>
    <row r="900">
      <c r="A900" s="13"/>
      <c r="B900" s="5"/>
      <c r="C900" s="5"/>
      <c r="D900" s="5"/>
      <c r="E900" s="5"/>
      <c r="F900" s="5"/>
      <c r="G900" s="5"/>
      <c r="H900" s="5"/>
      <c r="I900" s="5"/>
      <c r="J900" s="5"/>
    </row>
    <row r="901">
      <c r="A901" s="13"/>
      <c r="B901" s="5"/>
      <c r="C901" s="5"/>
      <c r="D901" s="5"/>
      <c r="E901" s="5"/>
      <c r="F901" s="5"/>
      <c r="G901" s="5"/>
      <c r="H901" s="5"/>
      <c r="I901" s="5"/>
      <c r="J901" s="5"/>
    </row>
    <row r="902">
      <c r="A902" s="13"/>
      <c r="B902" s="5"/>
      <c r="C902" s="5"/>
      <c r="D902" s="5"/>
      <c r="E902" s="5"/>
      <c r="F902" s="5"/>
      <c r="G902" s="5"/>
      <c r="H902" s="5"/>
      <c r="I902" s="5"/>
      <c r="J902" s="5"/>
    </row>
    <row r="903">
      <c r="A903" s="13"/>
      <c r="B903" s="5"/>
      <c r="C903" s="5"/>
      <c r="D903" s="5"/>
      <c r="E903" s="5"/>
      <c r="F903" s="5"/>
      <c r="G903" s="5"/>
      <c r="H903" s="5"/>
      <c r="I903" s="5"/>
      <c r="J903" s="5"/>
    </row>
    <row r="904">
      <c r="A904" s="13"/>
      <c r="B904" s="5"/>
      <c r="C904" s="5"/>
      <c r="D904" s="5"/>
      <c r="E904" s="5"/>
      <c r="F904" s="5"/>
      <c r="G904" s="5"/>
      <c r="H904" s="5"/>
      <c r="I904" s="5"/>
      <c r="J904" s="5"/>
    </row>
    <row r="905">
      <c r="A905" s="13"/>
      <c r="B905" s="5"/>
      <c r="C905" s="5"/>
      <c r="D905" s="5"/>
      <c r="E905" s="5"/>
      <c r="F905" s="5"/>
      <c r="G905" s="5"/>
      <c r="H905" s="5"/>
      <c r="I905" s="5"/>
      <c r="J905" s="5"/>
    </row>
    <row r="906">
      <c r="A906" s="13"/>
      <c r="B906" s="5"/>
      <c r="C906" s="5"/>
      <c r="D906" s="5"/>
      <c r="E906" s="5"/>
      <c r="F906" s="5"/>
      <c r="G906" s="5"/>
      <c r="H906" s="5"/>
      <c r="I906" s="5"/>
      <c r="J906" s="5"/>
    </row>
    <row r="907">
      <c r="A907" s="13"/>
      <c r="B907" s="5"/>
      <c r="C907" s="5"/>
      <c r="D907" s="5"/>
      <c r="E907" s="5"/>
      <c r="F907" s="5"/>
      <c r="G907" s="5"/>
      <c r="H907" s="5"/>
      <c r="I907" s="5"/>
      <c r="J907" s="5"/>
    </row>
    <row r="908">
      <c r="A908" s="13"/>
      <c r="B908" s="5"/>
      <c r="C908" s="5"/>
      <c r="D908" s="5"/>
      <c r="E908" s="5"/>
      <c r="F908" s="5"/>
      <c r="G908" s="5"/>
      <c r="H908" s="5"/>
      <c r="I908" s="5"/>
      <c r="J908" s="5"/>
    </row>
    <row r="909">
      <c r="A909" s="13"/>
      <c r="B909" s="5"/>
      <c r="C909" s="5"/>
      <c r="D909" s="5"/>
      <c r="E909" s="5"/>
      <c r="F909" s="5"/>
      <c r="G909" s="5"/>
      <c r="H909" s="5"/>
      <c r="I909" s="5"/>
      <c r="J909" s="5"/>
    </row>
    <row r="910">
      <c r="A910" s="13"/>
      <c r="B910" s="5"/>
      <c r="C910" s="5"/>
      <c r="D910" s="5"/>
      <c r="E910" s="5"/>
      <c r="F910" s="5"/>
      <c r="G910" s="5"/>
      <c r="H910" s="5"/>
      <c r="I910" s="5"/>
      <c r="J910" s="5"/>
    </row>
    <row r="911">
      <c r="A911" s="13"/>
      <c r="B911" s="5"/>
      <c r="C911" s="5"/>
      <c r="D911" s="5"/>
      <c r="E911" s="5"/>
      <c r="F911" s="5"/>
      <c r="G911" s="5"/>
      <c r="H911" s="5"/>
      <c r="I911" s="5"/>
      <c r="J911" s="5"/>
    </row>
    <row r="912">
      <c r="A912" s="13"/>
      <c r="B912" s="5"/>
      <c r="C912" s="5"/>
      <c r="D912" s="5"/>
      <c r="E912" s="5"/>
      <c r="F912" s="5"/>
      <c r="G912" s="5"/>
      <c r="H912" s="5"/>
      <c r="I912" s="5"/>
      <c r="J912" s="5"/>
    </row>
    <row r="913">
      <c r="A913" s="13"/>
      <c r="B913" s="5"/>
      <c r="C913" s="5"/>
      <c r="D913" s="5"/>
      <c r="E913" s="5"/>
      <c r="F913" s="5"/>
      <c r="G913" s="5"/>
      <c r="H913" s="5"/>
      <c r="I913" s="5"/>
      <c r="J913" s="5"/>
    </row>
    <row r="914">
      <c r="A914" s="13"/>
      <c r="B914" s="5"/>
      <c r="C914" s="5"/>
      <c r="D914" s="5"/>
      <c r="E914" s="5"/>
      <c r="F914" s="5"/>
      <c r="G914" s="5"/>
      <c r="H914" s="5"/>
      <c r="I914" s="5"/>
      <c r="J914" s="5"/>
    </row>
    <row r="915">
      <c r="A915" s="13"/>
      <c r="B915" s="5"/>
      <c r="C915" s="5"/>
      <c r="D915" s="5"/>
      <c r="E915" s="5"/>
      <c r="F915" s="5"/>
      <c r="G915" s="5"/>
      <c r="H915" s="5"/>
      <c r="I915" s="5"/>
      <c r="J915" s="5"/>
    </row>
    <row r="916">
      <c r="A916" s="13"/>
      <c r="B916" s="5"/>
      <c r="C916" s="5"/>
      <c r="D916" s="5"/>
      <c r="E916" s="5"/>
      <c r="F916" s="5"/>
      <c r="G916" s="5"/>
      <c r="H916" s="5"/>
      <c r="I916" s="5"/>
      <c r="J916" s="5"/>
    </row>
    <row r="917">
      <c r="A917" s="13"/>
      <c r="B917" s="5"/>
      <c r="C917" s="5"/>
      <c r="D917" s="5"/>
      <c r="E917" s="5"/>
      <c r="F917" s="5"/>
      <c r="G917" s="5"/>
      <c r="H917" s="5"/>
      <c r="I917" s="5"/>
      <c r="J917" s="5"/>
    </row>
    <row r="918">
      <c r="A918" s="13"/>
      <c r="B918" s="5"/>
      <c r="C918" s="5"/>
      <c r="D918" s="5"/>
      <c r="E918" s="5"/>
      <c r="F918" s="5"/>
      <c r="G918" s="5"/>
      <c r="H918" s="5"/>
      <c r="I918" s="5"/>
      <c r="J918" s="5"/>
    </row>
    <row r="919">
      <c r="A919" s="13"/>
      <c r="B919" s="5"/>
      <c r="C919" s="5"/>
      <c r="D919" s="5"/>
      <c r="E919" s="5"/>
      <c r="F919" s="5"/>
      <c r="G919" s="5"/>
      <c r="H919" s="5"/>
      <c r="I919" s="5"/>
      <c r="J919" s="5"/>
    </row>
    <row r="920">
      <c r="A920" s="13"/>
      <c r="B920" s="5"/>
      <c r="C920" s="5"/>
      <c r="D920" s="5"/>
      <c r="E920" s="5"/>
      <c r="F920" s="5"/>
      <c r="G920" s="5"/>
      <c r="H920" s="5"/>
      <c r="I920" s="5"/>
      <c r="J920" s="5"/>
    </row>
    <row r="921">
      <c r="A921" s="13"/>
      <c r="B921" s="5"/>
      <c r="C921" s="5"/>
      <c r="D921" s="5"/>
      <c r="E921" s="5"/>
      <c r="F921" s="5"/>
      <c r="G921" s="5"/>
      <c r="H921" s="5"/>
      <c r="I921" s="5"/>
      <c r="J921" s="5"/>
    </row>
    <row r="922">
      <c r="A922" s="13"/>
      <c r="B922" s="5"/>
      <c r="C922" s="5"/>
      <c r="D922" s="5"/>
      <c r="E922" s="5"/>
      <c r="F922" s="5"/>
      <c r="G922" s="5"/>
      <c r="H922" s="5"/>
      <c r="I922" s="5"/>
      <c r="J922" s="5"/>
    </row>
    <row r="923">
      <c r="A923" s="13"/>
      <c r="B923" s="5"/>
      <c r="C923" s="5"/>
      <c r="D923" s="5"/>
      <c r="E923" s="5"/>
      <c r="F923" s="5"/>
      <c r="G923" s="5"/>
      <c r="H923" s="5"/>
      <c r="I923" s="5"/>
      <c r="J923" s="5"/>
    </row>
    <row r="924">
      <c r="A924" s="13"/>
      <c r="B924" s="5"/>
      <c r="C924" s="5"/>
      <c r="D924" s="5"/>
      <c r="E924" s="5"/>
      <c r="F924" s="5"/>
      <c r="G924" s="5"/>
      <c r="H924" s="5"/>
      <c r="I924" s="5"/>
      <c r="J924" s="5"/>
    </row>
    <row r="925">
      <c r="A925" s="13"/>
      <c r="B925" s="5"/>
      <c r="C925" s="5"/>
      <c r="D925" s="5"/>
      <c r="E925" s="5"/>
      <c r="F925" s="5"/>
      <c r="G925" s="5"/>
      <c r="H925" s="5"/>
      <c r="I925" s="5"/>
      <c r="J925" s="5"/>
    </row>
    <row r="926">
      <c r="A926" s="13"/>
      <c r="B926" s="5"/>
      <c r="C926" s="5"/>
      <c r="D926" s="5"/>
      <c r="E926" s="5"/>
      <c r="F926" s="5"/>
      <c r="G926" s="5"/>
      <c r="H926" s="5"/>
      <c r="I926" s="5"/>
      <c r="J926" s="5"/>
    </row>
    <row r="927">
      <c r="A927" s="13"/>
      <c r="B927" s="5"/>
      <c r="C927" s="5"/>
      <c r="D927" s="5"/>
      <c r="E927" s="5"/>
      <c r="F927" s="5"/>
      <c r="G927" s="5"/>
      <c r="H927" s="5"/>
      <c r="I927" s="5"/>
      <c r="J927" s="5"/>
    </row>
    <row r="928">
      <c r="A928" s="13"/>
      <c r="B928" s="5"/>
      <c r="C928" s="5"/>
      <c r="D928" s="5"/>
      <c r="E928" s="5"/>
      <c r="F928" s="5"/>
      <c r="G928" s="5"/>
      <c r="H928" s="5"/>
      <c r="I928" s="5"/>
      <c r="J928" s="5"/>
    </row>
    <row r="929">
      <c r="A929" s="13"/>
      <c r="B929" s="5"/>
      <c r="C929" s="5"/>
      <c r="D929" s="5"/>
      <c r="E929" s="5"/>
      <c r="F929" s="5"/>
      <c r="G929" s="5"/>
      <c r="H929" s="5"/>
      <c r="I929" s="5"/>
      <c r="J929" s="5"/>
    </row>
    <row r="930">
      <c r="A930" s="13"/>
      <c r="B930" s="5"/>
      <c r="C930" s="5"/>
      <c r="D930" s="5"/>
      <c r="E930" s="5"/>
      <c r="F930" s="5"/>
      <c r="G930" s="5"/>
      <c r="H930" s="5"/>
      <c r="I930" s="5"/>
      <c r="J930" s="5"/>
    </row>
    <row r="931">
      <c r="A931" s="13"/>
      <c r="B931" s="5"/>
      <c r="C931" s="5"/>
      <c r="D931" s="5"/>
      <c r="E931" s="5"/>
      <c r="F931" s="5"/>
      <c r="G931" s="5"/>
      <c r="H931" s="5"/>
      <c r="I931" s="5"/>
      <c r="J931" s="5"/>
    </row>
    <row r="932">
      <c r="A932" s="13"/>
      <c r="B932" s="5"/>
      <c r="C932" s="5"/>
      <c r="D932" s="5"/>
      <c r="E932" s="5"/>
      <c r="F932" s="5"/>
      <c r="G932" s="5"/>
      <c r="H932" s="5"/>
      <c r="I932" s="5"/>
      <c r="J932" s="5"/>
    </row>
    <row r="933">
      <c r="A933" s="13"/>
      <c r="B933" s="5"/>
      <c r="C933" s="5"/>
      <c r="D933" s="5"/>
      <c r="E933" s="5"/>
      <c r="F933" s="5"/>
      <c r="G933" s="5"/>
      <c r="H933" s="5"/>
      <c r="I933" s="5"/>
      <c r="J933" s="5"/>
    </row>
    <row r="934">
      <c r="A934" s="13"/>
      <c r="B934" s="5"/>
      <c r="C934" s="5"/>
      <c r="D934" s="5"/>
      <c r="E934" s="5"/>
      <c r="F934" s="5"/>
      <c r="G934" s="5"/>
      <c r="H934" s="5"/>
      <c r="I934" s="5"/>
      <c r="J934" s="5"/>
    </row>
    <row r="935">
      <c r="A935" s="13"/>
      <c r="B935" s="5"/>
      <c r="C935" s="5"/>
      <c r="D935" s="5"/>
      <c r="E935" s="5"/>
      <c r="F935" s="5"/>
      <c r="G935" s="5"/>
      <c r="H935" s="5"/>
      <c r="I935" s="5"/>
      <c r="J935" s="5"/>
    </row>
    <row r="936">
      <c r="A936" s="13"/>
      <c r="B936" s="5"/>
      <c r="C936" s="5"/>
      <c r="D936" s="5"/>
      <c r="E936" s="5"/>
      <c r="F936" s="5"/>
      <c r="G936" s="5"/>
      <c r="H936" s="5"/>
      <c r="I936" s="5"/>
      <c r="J936" s="5"/>
    </row>
    <row r="937">
      <c r="A937" s="13"/>
      <c r="B937" s="5"/>
      <c r="C937" s="5"/>
      <c r="D937" s="5"/>
      <c r="E937" s="5"/>
      <c r="F937" s="5"/>
      <c r="G937" s="5"/>
      <c r="H937" s="5"/>
      <c r="I937" s="5"/>
      <c r="J937" s="5"/>
    </row>
    <row r="938">
      <c r="A938" s="13"/>
      <c r="B938" s="5"/>
      <c r="C938" s="5"/>
      <c r="D938" s="5"/>
      <c r="E938" s="5"/>
      <c r="F938" s="5"/>
      <c r="G938" s="5"/>
      <c r="H938" s="5"/>
      <c r="I938" s="5"/>
      <c r="J938" s="5"/>
    </row>
    <row r="939">
      <c r="A939" s="13"/>
      <c r="B939" s="5"/>
      <c r="C939" s="5"/>
      <c r="D939" s="5"/>
      <c r="E939" s="5"/>
      <c r="F939" s="5"/>
      <c r="G939" s="5"/>
      <c r="H939" s="5"/>
      <c r="I939" s="5"/>
      <c r="J939" s="5"/>
    </row>
    <row r="940">
      <c r="A940" s="13"/>
      <c r="B940" s="5"/>
      <c r="C940" s="5"/>
      <c r="D940" s="5"/>
      <c r="E940" s="5"/>
      <c r="F940" s="5"/>
      <c r="G940" s="5"/>
      <c r="H940" s="5"/>
      <c r="I940" s="5"/>
      <c r="J940" s="5"/>
    </row>
    <row r="941">
      <c r="A941" s="13"/>
      <c r="B941" s="5"/>
      <c r="C941" s="5"/>
      <c r="D941" s="5"/>
      <c r="E941" s="5"/>
      <c r="F941" s="5"/>
      <c r="G941" s="5"/>
      <c r="H941" s="5"/>
      <c r="I941" s="5"/>
      <c r="J941" s="5"/>
    </row>
    <row r="942">
      <c r="A942" s="13"/>
      <c r="B942" s="5"/>
      <c r="C942" s="5"/>
      <c r="D942" s="5"/>
      <c r="E942" s="5"/>
      <c r="F942" s="5"/>
      <c r="G942" s="5"/>
      <c r="H942" s="5"/>
      <c r="I942" s="5"/>
      <c r="J942" s="5"/>
    </row>
    <row r="943">
      <c r="A943" s="13"/>
      <c r="B943" s="5"/>
      <c r="C943" s="5"/>
      <c r="D943" s="5"/>
      <c r="E943" s="5"/>
      <c r="F943" s="5"/>
      <c r="G943" s="5"/>
      <c r="H943" s="5"/>
      <c r="I943" s="5"/>
      <c r="J943" s="5"/>
    </row>
    <row r="944">
      <c r="A944" s="13"/>
      <c r="B944" s="5"/>
      <c r="C944" s="5"/>
      <c r="D944" s="5"/>
      <c r="E944" s="5"/>
      <c r="F944" s="5"/>
      <c r="G944" s="5"/>
      <c r="H944" s="5"/>
      <c r="I944" s="5"/>
      <c r="J944" s="5"/>
    </row>
    <row r="945">
      <c r="A945" s="13"/>
      <c r="B945" s="5"/>
      <c r="C945" s="5"/>
      <c r="D945" s="5"/>
      <c r="E945" s="5"/>
      <c r="F945" s="5"/>
      <c r="G945" s="5"/>
      <c r="H945" s="5"/>
      <c r="I945" s="5"/>
      <c r="J945" s="5"/>
    </row>
    <row r="946">
      <c r="A946" s="13"/>
      <c r="B946" s="5"/>
      <c r="C946" s="5"/>
      <c r="D946" s="5"/>
      <c r="E946" s="5"/>
      <c r="F946" s="5"/>
      <c r="G946" s="5"/>
      <c r="H946" s="5"/>
      <c r="I946" s="5"/>
      <c r="J946" s="5"/>
    </row>
    <row r="947">
      <c r="A947" s="13"/>
      <c r="B947" s="5"/>
      <c r="C947" s="5"/>
      <c r="D947" s="5"/>
      <c r="E947" s="5"/>
      <c r="F947" s="5"/>
      <c r="G947" s="5"/>
      <c r="H947" s="5"/>
      <c r="I947" s="5"/>
      <c r="J947" s="5"/>
    </row>
    <row r="948">
      <c r="A948" s="13"/>
      <c r="B948" s="5"/>
      <c r="C948" s="5"/>
      <c r="D948" s="5"/>
      <c r="E948" s="5"/>
      <c r="F948" s="5"/>
      <c r="G948" s="5"/>
      <c r="H948" s="5"/>
      <c r="I948" s="5"/>
      <c r="J948" s="5"/>
    </row>
    <row r="949">
      <c r="A949" s="13"/>
      <c r="B949" s="5"/>
      <c r="C949" s="5"/>
      <c r="D949" s="5"/>
      <c r="E949" s="5"/>
      <c r="F949" s="5"/>
      <c r="G949" s="5"/>
      <c r="H949" s="5"/>
      <c r="I949" s="5"/>
      <c r="J949" s="5"/>
    </row>
    <row r="950">
      <c r="A950" s="13"/>
      <c r="B950" s="5"/>
      <c r="C950" s="5"/>
      <c r="D950" s="5"/>
      <c r="E950" s="5"/>
      <c r="F950" s="5"/>
      <c r="G950" s="5"/>
      <c r="H950" s="5"/>
      <c r="I950" s="5"/>
      <c r="J950" s="5"/>
    </row>
    <row r="951">
      <c r="A951" s="13"/>
      <c r="B951" s="5"/>
      <c r="C951" s="5"/>
      <c r="D951" s="5"/>
      <c r="E951" s="5"/>
      <c r="F951" s="5"/>
      <c r="G951" s="5"/>
      <c r="H951" s="5"/>
      <c r="I951" s="5"/>
      <c r="J951" s="5"/>
    </row>
    <row r="952">
      <c r="A952" s="13"/>
      <c r="B952" s="5"/>
      <c r="C952" s="5"/>
      <c r="D952" s="5"/>
      <c r="E952" s="5"/>
      <c r="F952" s="5"/>
      <c r="G952" s="5"/>
      <c r="H952" s="5"/>
      <c r="I952" s="5"/>
      <c r="J952" s="5"/>
    </row>
    <row r="953">
      <c r="A953" s="13"/>
      <c r="B953" s="5"/>
      <c r="C953" s="5"/>
      <c r="D953" s="5"/>
      <c r="E953" s="5"/>
      <c r="F953" s="5"/>
      <c r="G953" s="5"/>
      <c r="H953" s="5"/>
      <c r="I953" s="5"/>
      <c r="J953" s="5"/>
    </row>
    <row r="954">
      <c r="A954" s="13"/>
      <c r="B954" s="5"/>
      <c r="C954" s="5"/>
      <c r="D954" s="5"/>
      <c r="E954" s="5"/>
      <c r="F954" s="5"/>
      <c r="G954" s="5"/>
      <c r="H954" s="5"/>
      <c r="I954" s="5"/>
      <c r="J954" s="5"/>
    </row>
    <row r="955">
      <c r="A955" s="13"/>
      <c r="B955" s="5"/>
      <c r="C955" s="5"/>
      <c r="D955" s="5"/>
      <c r="E955" s="5"/>
      <c r="F955" s="5"/>
      <c r="G955" s="5"/>
      <c r="H955" s="5"/>
      <c r="I955" s="5"/>
      <c r="J955" s="5"/>
    </row>
    <row r="956">
      <c r="A956" s="13"/>
      <c r="B956" s="5"/>
      <c r="C956" s="5"/>
      <c r="D956" s="5"/>
      <c r="E956" s="5"/>
      <c r="F956" s="5"/>
      <c r="G956" s="5"/>
      <c r="H956" s="5"/>
      <c r="I956" s="5"/>
      <c r="J956" s="5"/>
    </row>
    <row r="957">
      <c r="A957" s="13"/>
      <c r="B957" s="5"/>
      <c r="C957" s="5"/>
      <c r="D957" s="5"/>
      <c r="E957" s="5"/>
      <c r="F957" s="5"/>
      <c r="G957" s="5"/>
      <c r="H957" s="5"/>
      <c r="I957" s="5"/>
      <c r="J957" s="5"/>
    </row>
    <row r="958">
      <c r="A958" s="13"/>
      <c r="B958" s="5"/>
      <c r="C958" s="5"/>
      <c r="D958" s="5"/>
      <c r="E958" s="5"/>
      <c r="F958" s="5"/>
      <c r="G958" s="5"/>
      <c r="H958" s="5"/>
      <c r="I958" s="5"/>
      <c r="J958" s="5"/>
    </row>
    <row r="959">
      <c r="A959" s="13"/>
      <c r="B959" s="5"/>
      <c r="C959" s="5"/>
      <c r="D959" s="5"/>
      <c r="E959" s="5"/>
      <c r="F959" s="5"/>
      <c r="G959" s="5"/>
      <c r="H959" s="5"/>
      <c r="I959" s="5"/>
      <c r="J959" s="5"/>
    </row>
    <row r="960">
      <c r="A960" s="13"/>
      <c r="B960" s="5"/>
      <c r="C960" s="5"/>
      <c r="D960" s="5"/>
      <c r="E960" s="5"/>
      <c r="F960" s="5"/>
      <c r="G960" s="5"/>
      <c r="H960" s="5"/>
      <c r="I960" s="5"/>
      <c r="J960" s="5"/>
    </row>
    <row r="961">
      <c r="A961" s="13"/>
      <c r="B961" s="5"/>
      <c r="C961" s="5"/>
      <c r="D961" s="5"/>
      <c r="E961" s="5"/>
      <c r="F961" s="5"/>
      <c r="G961" s="5"/>
      <c r="H961" s="5"/>
      <c r="I961" s="5"/>
      <c r="J961" s="5"/>
    </row>
    <row r="962">
      <c r="A962" s="13"/>
      <c r="B962" s="5"/>
      <c r="C962" s="5"/>
      <c r="D962" s="5"/>
      <c r="E962" s="5"/>
      <c r="F962" s="5"/>
      <c r="G962" s="5"/>
      <c r="H962" s="5"/>
      <c r="I962" s="5"/>
      <c r="J962" s="5"/>
    </row>
    <row r="963">
      <c r="A963" s="13"/>
      <c r="B963" s="5"/>
      <c r="C963" s="5"/>
      <c r="D963" s="5"/>
      <c r="E963" s="5"/>
      <c r="F963" s="5"/>
      <c r="G963" s="5"/>
      <c r="H963" s="5"/>
      <c r="I963" s="5"/>
      <c r="J963" s="5"/>
    </row>
    <row r="964">
      <c r="A964" s="13"/>
      <c r="B964" s="5"/>
      <c r="C964" s="5"/>
      <c r="D964" s="5"/>
      <c r="E964" s="5"/>
      <c r="F964" s="5"/>
      <c r="G964" s="5"/>
      <c r="H964" s="5"/>
      <c r="I964" s="5"/>
      <c r="J964" s="5"/>
    </row>
    <row r="965">
      <c r="A965" s="13"/>
      <c r="B965" s="5"/>
      <c r="C965" s="5"/>
      <c r="D965" s="5"/>
      <c r="E965" s="5"/>
      <c r="F965" s="5"/>
      <c r="G965" s="5"/>
      <c r="H965" s="5"/>
      <c r="I965" s="5"/>
      <c r="J965" s="5"/>
    </row>
    <row r="966">
      <c r="A966" s="13"/>
      <c r="B966" s="5"/>
      <c r="C966" s="5"/>
      <c r="D966" s="5"/>
      <c r="E966" s="5"/>
      <c r="F966" s="5"/>
      <c r="G966" s="5"/>
      <c r="H966" s="5"/>
      <c r="I966" s="5"/>
      <c r="J966" s="5"/>
    </row>
    <row r="967">
      <c r="A967" s="13"/>
      <c r="B967" s="5"/>
      <c r="C967" s="5"/>
      <c r="D967" s="5"/>
      <c r="E967" s="5"/>
      <c r="F967" s="5"/>
      <c r="G967" s="5"/>
      <c r="H967" s="5"/>
      <c r="I967" s="5"/>
      <c r="J967" s="5"/>
    </row>
    <row r="968">
      <c r="A968" s="13"/>
      <c r="B968" s="5"/>
      <c r="C968" s="5"/>
      <c r="D968" s="5"/>
      <c r="E968" s="5"/>
      <c r="F968" s="5"/>
      <c r="G968" s="5"/>
      <c r="H968" s="5"/>
      <c r="I968" s="5"/>
      <c r="J968" s="5"/>
    </row>
    <row r="969">
      <c r="A969" s="13"/>
      <c r="B969" s="5"/>
      <c r="C969" s="5"/>
      <c r="D969" s="5"/>
      <c r="E969" s="5"/>
      <c r="F969" s="5"/>
      <c r="G969" s="5"/>
      <c r="H969" s="5"/>
      <c r="I969" s="5"/>
      <c r="J969" s="5"/>
    </row>
    <row r="970">
      <c r="A970" s="13"/>
      <c r="B970" s="5"/>
      <c r="C970" s="5"/>
      <c r="D970" s="5"/>
      <c r="E970" s="5"/>
      <c r="F970" s="5"/>
      <c r="G970" s="5"/>
      <c r="H970" s="5"/>
      <c r="I970" s="5"/>
      <c r="J970" s="5"/>
    </row>
    <row r="971">
      <c r="A971" s="13"/>
      <c r="B971" s="5"/>
      <c r="C971" s="5"/>
      <c r="D971" s="5"/>
      <c r="E971" s="5"/>
      <c r="F971" s="5"/>
      <c r="G971" s="5"/>
      <c r="H971" s="5"/>
      <c r="I971" s="5"/>
      <c r="J971" s="5"/>
    </row>
    <row r="972">
      <c r="A972" s="13"/>
      <c r="B972" s="5"/>
      <c r="C972" s="5"/>
      <c r="D972" s="5"/>
      <c r="E972" s="5"/>
      <c r="F972" s="5"/>
      <c r="G972" s="5"/>
      <c r="H972" s="5"/>
      <c r="I972" s="5"/>
      <c r="J972" s="5"/>
    </row>
    <row r="973">
      <c r="A973" s="13"/>
      <c r="B973" s="5"/>
      <c r="C973" s="5"/>
      <c r="D973" s="5"/>
      <c r="E973" s="5"/>
      <c r="F973" s="5"/>
      <c r="G973" s="5"/>
      <c r="H973" s="5"/>
      <c r="I973" s="5"/>
      <c r="J973" s="5"/>
    </row>
    <row r="974">
      <c r="A974" s="13"/>
      <c r="B974" s="5"/>
      <c r="C974" s="5"/>
      <c r="D974" s="5"/>
      <c r="E974" s="5"/>
      <c r="F974" s="5"/>
      <c r="G974" s="5"/>
      <c r="H974" s="5"/>
      <c r="I974" s="5"/>
      <c r="J974" s="5"/>
    </row>
    <row r="975">
      <c r="A975" s="13"/>
      <c r="B975" s="5"/>
      <c r="C975" s="5"/>
      <c r="D975" s="5"/>
      <c r="E975" s="5"/>
      <c r="F975" s="5"/>
      <c r="G975" s="5"/>
      <c r="H975" s="5"/>
      <c r="I975" s="5"/>
      <c r="J975" s="5"/>
    </row>
    <row r="976">
      <c r="A976" s="13"/>
      <c r="B976" s="5"/>
      <c r="C976" s="5"/>
      <c r="D976" s="5"/>
      <c r="E976" s="5"/>
      <c r="F976" s="5"/>
      <c r="G976" s="5"/>
      <c r="H976" s="5"/>
      <c r="I976" s="5"/>
      <c r="J976" s="5"/>
    </row>
    <row r="977">
      <c r="A977" s="13"/>
      <c r="B977" s="5"/>
      <c r="C977" s="5"/>
      <c r="D977" s="5"/>
      <c r="E977" s="5"/>
      <c r="F977" s="5"/>
      <c r="G977" s="5"/>
      <c r="H977" s="5"/>
      <c r="I977" s="5"/>
      <c r="J977" s="5"/>
    </row>
    <row r="978">
      <c r="A978" s="13"/>
      <c r="B978" s="5"/>
      <c r="C978" s="5"/>
      <c r="D978" s="5"/>
      <c r="E978" s="5"/>
      <c r="F978" s="5"/>
      <c r="G978" s="5"/>
      <c r="H978" s="5"/>
      <c r="I978" s="5"/>
      <c r="J978" s="5"/>
    </row>
    <row r="979">
      <c r="A979" s="13"/>
      <c r="B979" s="5"/>
      <c r="C979" s="5"/>
      <c r="D979" s="5"/>
      <c r="E979" s="5"/>
      <c r="F979" s="5"/>
      <c r="G979" s="5"/>
      <c r="H979" s="5"/>
      <c r="I979" s="5"/>
      <c r="J979" s="5"/>
    </row>
    <row r="980">
      <c r="A980" s="13"/>
      <c r="B980" s="5"/>
      <c r="C980" s="5"/>
      <c r="D980" s="5"/>
      <c r="E980" s="5"/>
      <c r="F980" s="5"/>
      <c r="G980" s="5"/>
      <c r="H980" s="5"/>
      <c r="I980" s="5"/>
      <c r="J980" s="5"/>
    </row>
    <row r="981">
      <c r="A981" s="13"/>
      <c r="B981" s="5"/>
      <c r="C981" s="5"/>
      <c r="D981" s="5"/>
      <c r="E981" s="5"/>
      <c r="F981" s="5"/>
      <c r="G981" s="5"/>
      <c r="H981" s="5"/>
      <c r="I981" s="5"/>
      <c r="J981" s="5"/>
    </row>
    <row r="982">
      <c r="A982" s="13"/>
      <c r="B982" s="5"/>
      <c r="C982" s="5"/>
      <c r="D982" s="5"/>
      <c r="E982" s="5"/>
      <c r="F982" s="5"/>
      <c r="G982" s="5"/>
      <c r="H982" s="5"/>
      <c r="I982" s="5"/>
      <c r="J982" s="5"/>
    </row>
    <row r="983">
      <c r="A983" s="13"/>
      <c r="B983" s="5"/>
      <c r="C983" s="5"/>
      <c r="D983" s="5"/>
      <c r="E983" s="5"/>
      <c r="F983" s="5"/>
      <c r="G983" s="5"/>
      <c r="H983" s="5"/>
      <c r="I983" s="5"/>
      <c r="J983" s="5"/>
    </row>
    <row r="984">
      <c r="A984" s="13"/>
      <c r="B984" s="5"/>
      <c r="C984" s="5"/>
      <c r="D984" s="5"/>
      <c r="E984" s="5"/>
      <c r="F984" s="5"/>
      <c r="G984" s="5"/>
      <c r="H984" s="5"/>
      <c r="I984" s="5"/>
      <c r="J984" s="5"/>
    </row>
    <row r="985">
      <c r="A985" s="13"/>
      <c r="B985" s="5"/>
      <c r="C985" s="5"/>
      <c r="D985" s="5"/>
      <c r="E985" s="5"/>
      <c r="F985" s="5"/>
      <c r="G985" s="5"/>
      <c r="H985" s="5"/>
      <c r="I985" s="5"/>
      <c r="J985" s="5"/>
    </row>
    <row r="986">
      <c r="A986" s="13"/>
      <c r="B986" s="5"/>
      <c r="C986" s="5"/>
      <c r="D986" s="5"/>
      <c r="E986" s="5"/>
      <c r="F986" s="5"/>
      <c r="G986" s="5"/>
      <c r="H986" s="5"/>
      <c r="I986" s="5"/>
      <c r="J986" s="5"/>
    </row>
    <row r="987">
      <c r="A987" s="13"/>
      <c r="B987" s="5"/>
      <c r="C987" s="5"/>
      <c r="D987" s="5"/>
      <c r="E987" s="5"/>
      <c r="F987" s="5"/>
      <c r="G987" s="5"/>
      <c r="H987" s="5"/>
      <c r="I987" s="5"/>
      <c r="J987" s="5"/>
    </row>
    <row r="988">
      <c r="A988" s="13"/>
      <c r="B988" s="5"/>
      <c r="C988" s="5"/>
      <c r="D988" s="5"/>
      <c r="E988" s="5"/>
      <c r="F988" s="5"/>
      <c r="G988" s="5"/>
      <c r="H988" s="5"/>
      <c r="I988" s="5"/>
      <c r="J988" s="5"/>
    </row>
    <row r="989">
      <c r="A989" s="13"/>
      <c r="B989" s="5"/>
      <c r="C989" s="5"/>
      <c r="D989" s="5"/>
      <c r="E989" s="5"/>
      <c r="F989" s="5"/>
      <c r="G989" s="5"/>
      <c r="H989" s="5"/>
      <c r="I989" s="5"/>
      <c r="J989" s="5"/>
    </row>
    <row r="990">
      <c r="A990" s="13"/>
      <c r="B990" s="5"/>
      <c r="C990" s="5"/>
      <c r="D990" s="5"/>
      <c r="E990" s="5"/>
      <c r="F990" s="5"/>
      <c r="G990" s="5"/>
      <c r="H990" s="5"/>
      <c r="I990" s="5"/>
      <c r="J990" s="5"/>
    </row>
    <row r="991">
      <c r="A991" s="13"/>
      <c r="B991" s="5"/>
      <c r="C991" s="5"/>
      <c r="D991" s="5"/>
      <c r="E991" s="5"/>
      <c r="F991" s="5"/>
      <c r="G991" s="5"/>
      <c r="H991" s="5"/>
      <c r="I991" s="5"/>
      <c r="J991" s="5"/>
    </row>
    <row r="992">
      <c r="A992" s="13"/>
      <c r="B992" s="5"/>
      <c r="C992" s="5"/>
      <c r="D992" s="5"/>
      <c r="E992" s="5"/>
      <c r="F992" s="5"/>
      <c r="G992" s="5"/>
      <c r="H992" s="5"/>
      <c r="I992" s="5"/>
      <c r="J992" s="5"/>
    </row>
    <row r="993">
      <c r="A993" s="13"/>
      <c r="B993" s="5"/>
      <c r="C993" s="5"/>
      <c r="D993" s="5"/>
      <c r="E993" s="5"/>
      <c r="F993" s="5"/>
      <c r="G993" s="5"/>
      <c r="H993" s="5"/>
      <c r="I993" s="5"/>
      <c r="J993" s="5"/>
    </row>
    <row r="994">
      <c r="A994" s="13"/>
      <c r="B994" s="5"/>
      <c r="C994" s="5"/>
      <c r="D994" s="5"/>
      <c r="E994" s="5"/>
      <c r="F994" s="5"/>
      <c r="G994" s="5"/>
      <c r="H994" s="5"/>
      <c r="I994" s="5"/>
      <c r="J994" s="5"/>
    </row>
    <row r="995">
      <c r="A995" s="13"/>
      <c r="B995" s="5"/>
      <c r="C995" s="5"/>
      <c r="D995" s="5"/>
      <c r="E995" s="5"/>
      <c r="F995" s="5"/>
      <c r="G995" s="5"/>
      <c r="H995" s="5"/>
      <c r="I995" s="5"/>
      <c r="J995" s="5"/>
    </row>
    <row r="996">
      <c r="A996" s="13"/>
      <c r="B996" s="5"/>
      <c r="C996" s="5"/>
      <c r="D996" s="5"/>
      <c r="E996" s="5"/>
      <c r="F996" s="5"/>
      <c r="G996" s="5"/>
      <c r="H996" s="5"/>
      <c r="I996" s="5"/>
      <c r="J996" s="5"/>
    </row>
    <row r="997">
      <c r="A997" s="13"/>
      <c r="B997" s="5"/>
      <c r="C997" s="5"/>
      <c r="D997" s="5"/>
      <c r="E997" s="5"/>
      <c r="F997" s="5"/>
      <c r="G997" s="5"/>
      <c r="H997" s="5"/>
      <c r="I997" s="5"/>
      <c r="J997" s="5"/>
    </row>
    <row r="998">
      <c r="A998" s="13"/>
      <c r="B998" s="5"/>
      <c r="C998" s="5"/>
      <c r="D998" s="5"/>
      <c r="E998" s="5"/>
      <c r="F998" s="5"/>
      <c r="G998" s="5"/>
      <c r="H998" s="5"/>
      <c r="I998" s="5"/>
      <c r="J998" s="5"/>
    </row>
    <row r="999">
      <c r="A999" s="13"/>
      <c r="B999" s="5"/>
      <c r="C999" s="5"/>
      <c r="D999" s="5"/>
      <c r="E999" s="5"/>
      <c r="F999" s="5"/>
      <c r="G999" s="5"/>
      <c r="H999" s="5"/>
      <c r="I999" s="5"/>
      <c r="J999" s="5"/>
    </row>
    <row r="1000">
      <c r="A1000" s="13"/>
      <c r="B1000" s="5"/>
      <c r="C1000" s="5"/>
      <c r="D1000" s="5"/>
      <c r="E1000" s="5"/>
      <c r="F1000" s="5"/>
      <c r="G1000" s="5"/>
      <c r="H1000" s="5"/>
      <c r="I1000" s="5"/>
      <c r="J1000" s="5"/>
    </row>
    <row r="1001">
      <c r="A1001" s="13"/>
      <c r="B1001" s="5"/>
      <c r="C1001" s="5"/>
      <c r="D1001" s="5"/>
      <c r="E1001" s="5"/>
      <c r="F1001" s="5"/>
      <c r="G1001" s="5"/>
      <c r="H1001" s="5"/>
      <c r="I1001" s="5"/>
      <c r="J1001" s="5"/>
    </row>
    <row r="1002">
      <c r="A1002" s="13"/>
      <c r="B1002" s="5"/>
      <c r="C1002" s="5"/>
      <c r="D1002" s="5"/>
      <c r="E1002" s="5"/>
      <c r="F1002" s="5"/>
      <c r="G1002" s="5"/>
      <c r="H1002" s="5"/>
      <c r="I1002" s="5"/>
      <c r="J1002" s="5"/>
    </row>
    <row r="1003">
      <c r="A1003" s="13"/>
      <c r="B1003" s="5"/>
      <c r="C1003" s="5"/>
      <c r="D1003" s="5"/>
      <c r="E1003" s="5"/>
      <c r="F1003" s="5"/>
      <c r="G1003" s="5"/>
      <c r="H1003" s="5"/>
      <c r="I1003" s="5"/>
      <c r="J1003" s="5"/>
    </row>
    <row r="1004">
      <c r="A1004" s="13"/>
      <c r="B1004" s="5"/>
      <c r="C1004" s="5"/>
      <c r="D1004" s="5"/>
      <c r="E1004" s="5"/>
      <c r="F1004" s="5"/>
      <c r="G1004" s="5"/>
      <c r="H1004" s="5"/>
      <c r="I1004" s="5"/>
      <c r="J1004" s="5"/>
    </row>
    <row r="1005">
      <c r="A1005" s="13"/>
      <c r="B1005" s="5"/>
      <c r="C1005" s="5"/>
      <c r="D1005" s="5"/>
      <c r="E1005" s="5"/>
      <c r="F1005" s="5"/>
      <c r="G1005" s="5"/>
      <c r="H1005" s="5"/>
      <c r="I1005" s="5"/>
      <c r="J1005" s="5"/>
    </row>
    <row r="1006">
      <c r="A1006" s="13"/>
      <c r="B1006" s="5"/>
      <c r="C1006" s="5"/>
      <c r="D1006" s="5"/>
      <c r="E1006" s="5"/>
      <c r="F1006" s="5"/>
      <c r="G1006" s="5"/>
      <c r="H1006" s="5"/>
      <c r="I1006" s="5"/>
      <c r="J1006" s="5"/>
    </row>
    <row r="1007">
      <c r="A1007" s="13"/>
      <c r="B1007" s="5"/>
      <c r="C1007" s="5"/>
      <c r="D1007" s="5"/>
      <c r="E1007" s="5"/>
      <c r="F1007" s="5"/>
      <c r="G1007" s="5"/>
      <c r="H1007" s="5"/>
      <c r="I1007" s="5"/>
      <c r="J1007" s="5"/>
    </row>
  </sheetData>
  <mergeCells count="24">
    <mergeCell ref="U1:X1"/>
    <mergeCell ref="AG1:AK1"/>
    <mergeCell ref="G3:J3"/>
    <mergeCell ref="L3:O3"/>
    <mergeCell ref="U3:Y3"/>
    <mergeCell ref="AA3:AE3"/>
    <mergeCell ref="AG3:AL3"/>
    <mergeCell ref="L29:O29"/>
    <mergeCell ref="U29:Y29"/>
    <mergeCell ref="B42:E42"/>
    <mergeCell ref="G42:J42"/>
    <mergeCell ref="L42:O42"/>
    <mergeCell ref="U42:Y42"/>
    <mergeCell ref="AA42:AE42"/>
    <mergeCell ref="AG42:AL42"/>
    <mergeCell ref="AA29:AE29"/>
    <mergeCell ref="AG29:AL29"/>
    <mergeCell ref="B3:E3"/>
    <mergeCell ref="B16:E16"/>
    <mergeCell ref="L16:O16"/>
    <mergeCell ref="U16:Y16"/>
    <mergeCell ref="AA16:AE16"/>
    <mergeCell ref="AG16:AL16"/>
    <mergeCell ref="B29:E29"/>
  </mergeCells>
  <conditionalFormatting sqref="C30:E35">
    <cfRule type="expression" dxfId="0" priority="1">
      <formula>C30&lt;B30</formula>
    </cfRule>
  </conditionalFormatting>
  <hyperlinks>
    <hyperlink display="#WALSUI-cluster-3-freeze-20-sample-0.12" location="#WALSUI-cluster-3-freeze-20-sam!A1" ref="G4"/>
    <hyperlink display="#WALSUI-cluster-3-freeze-20-sample-0.29" location="Sheet7!A1" ref="H4"/>
    <hyperlink display="#WALSUI-cluster-3-freeze-20-sample-0.57" location="Sheet8!A1" ref="I4"/>
    <hyperlink display="#WALSUI-cluster-3-freeze-20" location="#WALSUI-cluster-3-freeze-20!A1" ref="J4"/>
    <hyperlink display="#TURITA-cluster-3-freeze-20-sample-0.09" location="#TURITA-cluster-3-freeze-20-sam!A1" ref="G5"/>
    <hyperlink display="#TURITA-cluster-3-freeze-20-sample-0.23" location="Sheet9!A1" ref="H5"/>
    <hyperlink display="#TURITA-cluster-3-freeze-20-sample-0.46" location="Sheet10!A1" ref="I5"/>
    <hyperlink display="#TURITA-cluster-3-freeze-20" location="#TURITA-cluster-3-freeze-20!A1" ref="J5"/>
    <hyperlink display="#SOUARS-cluster-3-freeze-20-sample-0.10" location="#SOUARS-cluster-3-freeze-20-sam!A1" ref="G6"/>
    <hyperlink display="#SOUARS-cluster-3-freeze-20-sample-0.26" location="Sheet11!A1" ref="H6"/>
    <hyperlink display="#SOUARS-cluster-3-freeze-20-sample-0.51" location="Sheet12!A1" ref="I6"/>
    <hyperlink display="#SOUARS-cluster-3-freeze-20" location="#SOUARS-cluster-3-freeze-20!A1" ref="J6"/>
    <hyperlink display="#LEIMUN-cluster-3-freeze-20-sample-0.05" location="#LEIMUN-cluster-3-freeze-20-sam!A1" ref="G7"/>
    <hyperlink display="#LEIMUN-cluster-3-freeze-20-sample-0.12" location="Sheet13!A1" ref="H7"/>
    <hyperlink display="#LEIMUN-cluster-3-freeze-20-sample-0.24" location="Sheet14!A1" ref="I7"/>
    <hyperlink display="#LEIMUN-cluster-10-freeze-5" location="#LEIMUN-cluster-10-freeze-5!A1" ref="J7"/>
    <hyperlink display="#SCOCZE-cluster-3-freeze-20-sample-0.08" location="#SCOCZE-cluster-3-freeze-20-sam!A1" ref="G8"/>
    <hyperlink display="#SCOCZE-cluster-3-freeze-20-sample-0.21" location="Sheet15!A1" ref="H8"/>
    <hyperlink display="#SCOCZE-cluster-3-freeze-20-sample-0.42" location="Sheet16!A1" ref="I8"/>
    <hyperlink display="#SCOCZE-cluster-3-freeze-20" location="#SCOCZE-cluster-3-freeze-20!A1" ref="J8"/>
    <hyperlink display="#HUNFRA-cluster-3-freeze-20-sample-0.08" location="#HUNFRA-cluster-3-freeze-20-sam!A1" ref="G9"/>
    <hyperlink display="#HUNFRA-cluster-3-freeze-20-sample-0.20" location="Sheet17!A1" ref="H9"/>
    <hyperlink display="#HUNFRA-cluster-3-freeze-20-sample-0.41" location="Sheet18!A1" ref="I9"/>
    <hyperlink display="#HUNFRA-cluster-5-freeze-20" location="#HUNFRA-cluster-5-freeze-20!A1" ref="J9"/>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sheetData>
    <row r="1">
      <c r="A1" s="13" t="s">
        <v>83</v>
      </c>
      <c r="B1" s="59" t="s">
        <v>84</v>
      </c>
      <c r="C1" s="43" t="s">
        <v>85</v>
      </c>
      <c r="D1" s="43" t="s">
        <v>86</v>
      </c>
      <c r="E1" s="43" t="s">
        <v>87</v>
      </c>
      <c r="F1" s="43" t="s">
        <v>57</v>
      </c>
      <c r="G1" s="43" t="s">
        <v>58</v>
      </c>
      <c r="H1" s="43" t="s">
        <v>88</v>
      </c>
      <c r="I1" s="43" t="s">
        <v>15</v>
      </c>
      <c r="J1" s="43" t="s">
        <v>6</v>
      </c>
      <c r="K1" s="43" t="s">
        <v>89</v>
      </c>
      <c r="L1" s="60"/>
      <c r="M1" s="43" t="s">
        <v>90</v>
      </c>
      <c r="N1" s="43" t="s">
        <v>91</v>
      </c>
      <c r="O1" s="43" t="s">
        <v>85</v>
      </c>
      <c r="P1" s="43" t="s">
        <v>86</v>
      </c>
      <c r="Q1" s="43" t="s">
        <v>87</v>
      </c>
      <c r="R1" s="43" t="s">
        <v>92</v>
      </c>
      <c r="S1" s="43" t="s">
        <v>3</v>
      </c>
      <c r="T1" s="43" t="s">
        <v>4</v>
      </c>
      <c r="U1" s="43" t="s">
        <v>5</v>
      </c>
      <c r="V1" s="60"/>
      <c r="W1" s="43" t="s">
        <v>90</v>
      </c>
      <c r="X1" s="43" t="s">
        <v>91</v>
      </c>
      <c r="Y1" s="43" t="s">
        <v>85</v>
      </c>
      <c r="Z1" s="43" t="s">
        <v>86</v>
      </c>
      <c r="AA1" s="43" t="s">
        <v>87</v>
      </c>
      <c r="AB1" s="43" t="s">
        <v>93</v>
      </c>
      <c r="AC1" s="43" t="s">
        <v>11</v>
      </c>
      <c r="AD1" s="43" t="s">
        <v>94</v>
      </c>
      <c r="AE1" s="43" t="s">
        <v>14</v>
      </c>
      <c r="AF1" s="43" t="s">
        <v>13</v>
      </c>
    </row>
    <row r="2">
      <c r="A2" s="13" t="s">
        <v>27</v>
      </c>
      <c r="B2" s="61">
        <v>5.0</v>
      </c>
      <c r="C2" s="62" t="s">
        <v>95</v>
      </c>
      <c r="D2" s="63">
        <v>1.0</v>
      </c>
      <c r="E2" s="62" t="s">
        <v>96</v>
      </c>
      <c r="F2" s="52">
        <f t="shared" ref="F2:F49" si="1">VLOOKUP($A2,INDIRECT($C2 &amp; "!$A$43:$I$48"),$B2,FALSE)</f>
        <v>35</v>
      </c>
      <c r="G2" s="53">
        <f t="shared" ref="G2:G49" si="2">VLOOKUP($A2,INDIRECT($C2 &amp; "!$A$43:$I$48"),$B2+4,FALSE)</f>
        <v>18</v>
      </c>
      <c r="H2" s="52" t="str">
        <f t="shared" ref="H2:H49" si="3">F2 &amp; " (" &amp; TEXT(G2, "#") &amp; ")"</f>
        <v>35 (18)</v>
      </c>
      <c r="I2" s="21">
        <f t="shared" ref="I2:I49" si="4">VLOOKUP($A2,INDIRECT($C2 &amp; "!$A$4:$E$9"),$B2,FALSE)</f>
        <v>0.6285714286</v>
      </c>
      <c r="J2" s="21">
        <f t="shared" ref="J2:J49" si="5">VLOOKUP($A2,INDIRECT($C2 &amp; "!$A$17:$E$22"),$B2,FALSE)</f>
        <v>0.7222222222</v>
      </c>
      <c r="K2" s="21">
        <f t="shared" ref="K2:K49" si="6">VLOOKUP($A2,INDIRECT($C2 &amp; "!$A$30:$E$35"),$B2,FALSE)</f>
        <v>0.6721504113</v>
      </c>
      <c r="M2" s="62">
        <v>4.0</v>
      </c>
      <c r="N2" s="62">
        <v>9.0</v>
      </c>
      <c r="O2" s="62" t="s">
        <v>95</v>
      </c>
      <c r="P2" s="63">
        <v>1.0</v>
      </c>
      <c r="Q2" s="62" t="s">
        <v>96</v>
      </c>
      <c r="R2" s="21">
        <f t="shared" ref="R2:R49" si="7">VLOOKUP($A2,INDIRECT($O2 &amp; "!$A$" &amp; $M2 &amp; ":$O$" &amp; $N2),12,FALSE)</f>
        <v>1</v>
      </c>
      <c r="S2" s="21">
        <f t="shared" ref="S2:S49" si="8">VLOOKUP($A2,INDIRECT($O2 &amp; "!$A$" &amp; $M2 &amp; ":$O$" &amp; $N2),13,FALSE)</f>
        <v>0.6666666667</v>
      </c>
      <c r="T2" s="21">
        <f t="shared" ref="T2:T49" si="9">VLOOKUP($A2,INDIRECT($O2 &amp; "!$A$" &amp; $M2 &amp; ":$O$" &amp; $N2),14,FALSE)</f>
        <v>0.5</v>
      </c>
      <c r="U2" s="21">
        <f t="shared" ref="U2:U49" si="10">VLOOKUP($A2,INDIRECT($O2 &amp; "!$A$" &amp; $M2 &amp; ":$O$" &amp; $N2),15,FALSE)</f>
        <v>0.75</v>
      </c>
      <c r="W2" s="62">
        <v>4.0</v>
      </c>
      <c r="X2" s="62">
        <v>9.0</v>
      </c>
      <c r="Y2" s="62" t="s">
        <v>95</v>
      </c>
      <c r="Z2" s="63">
        <v>1.0</v>
      </c>
      <c r="AA2" s="62" t="s">
        <v>96</v>
      </c>
      <c r="AB2" s="21">
        <f t="shared" ref="AB2:AB49" si="11">VLOOKUP($A2,INDIRECT($Y2 &amp; "!$A$" &amp; $W2 &amp; ":$AE$" &amp; $X2),27,FALSE)</f>
        <v>0.05714285714</v>
      </c>
      <c r="AC2" s="21">
        <f t="shared" ref="AC2:AC49" si="12">VLOOKUP($A2,INDIRECT($Y2 &amp; "!$A$" &amp; $W2 &amp; ":$AE$" &amp; $X2),28,FALSE)</f>
        <v>0.1428571429</v>
      </c>
      <c r="AD2" s="21">
        <f t="shared" ref="AD2:AD49" si="13">VLOOKUP($A2,INDIRECT($Y2 &amp; "!$A$" &amp; $W2 &amp; ":$AE$" &amp; $X2),29,FALSE)</f>
        <v>0.1714285714</v>
      </c>
      <c r="AE2" s="21">
        <f t="shared" ref="AE2:AE49" si="14">VLOOKUP($A2,INDIRECT($Y2 &amp; "!$A$" &amp; $W2 &amp; ":$AE$" &amp; $X2),31,FALSE)</f>
        <v>0.2857142857</v>
      </c>
      <c r="AF2" s="21">
        <f t="shared" ref="AF2:AF49" si="15">VLOOKUP($A2,INDIRECT($Y2 &amp; "!$A$" &amp; $W2 &amp; ":$AE$" &amp; $X2),30,FALSE)</f>
        <v>0.3428571429</v>
      </c>
    </row>
    <row r="3">
      <c r="A3" s="13" t="s">
        <v>27</v>
      </c>
      <c r="B3" s="61">
        <v>5.0</v>
      </c>
      <c r="C3" s="62" t="s">
        <v>97</v>
      </c>
      <c r="E3" s="62" t="s">
        <v>98</v>
      </c>
      <c r="F3" s="52">
        <f t="shared" si="1"/>
        <v>32</v>
      </c>
      <c r="G3" s="53">
        <f t="shared" si="2"/>
        <v>21</v>
      </c>
      <c r="H3" s="52" t="str">
        <f t="shared" si="3"/>
        <v>32 (21)</v>
      </c>
      <c r="I3" s="21">
        <f t="shared" si="4"/>
        <v>0.75</v>
      </c>
      <c r="J3" s="21">
        <f t="shared" si="5"/>
        <v>0.6667</v>
      </c>
      <c r="K3" s="21">
        <f t="shared" si="6"/>
        <v>0.7059010376</v>
      </c>
      <c r="M3" s="62">
        <v>4.0</v>
      </c>
      <c r="N3" s="62">
        <v>9.0</v>
      </c>
      <c r="O3" s="62" t="s">
        <v>97</v>
      </c>
      <c r="Q3" s="62" t="s">
        <v>98</v>
      </c>
      <c r="R3" s="21">
        <f t="shared" si="7"/>
        <v>1</v>
      </c>
      <c r="S3" s="21">
        <f t="shared" si="8"/>
        <v>1</v>
      </c>
      <c r="T3" s="21">
        <f t="shared" si="9"/>
        <v>0.75</v>
      </c>
      <c r="U3" s="21">
        <f t="shared" si="10"/>
        <v>0.375</v>
      </c>
      <c r="W3" s="62">
        <v>4.0</v>
      </c>
      <c r="X3" s="62">
        <v>9.0</v>
      </c>
      <c r="Y3" s="62" t="s">
        <v>97</v>
      </c>
      <c r="AA3" s="62" t="s">
        <v>98</v>
      </c>
      <c r="AB3" s="21">
        <f t="shared" si="11"/>
        <v>0</v>
      </c>
      <c r="AC3" s="21">
        <f t="shared" si="12"/>
        <v>0.0625</v>
      </c>
      <c r="AD3" s="21">
        <f t="shared" si="13"/>
        <v>0.1875</v>
      </c>
      <c r="AE3" s="21">
        <f t="shared" si="14"/>
        <v>0.4063</v>
      </c>
      <c r="AF3" s="21">
        <f t="shared" si="15"/>
        <v>0.3438</v>
      </c>
    </row>
    <row r="4">
      <c r="A4" s="13" t="s">
        <v>27</v>
      </c>
      <c r="B4" s="61">
        <v>4.0</v>
      </c>
      <c r="C4" s="62" t="s">
        <v>95</v>
      </c>
      <c r="D4" s="64">
        <v>50000.0</v>
      </c>
      <c r="E4" s="62" t="s">
        <v>96</v>
      </c>
      <c r="F4" s="52">
        <f t="shared" si="1"/>
        <v>26</v>
      </c>
      <c r="G4" s="53">
        <f t="shared" si="2"/>
        <v>10</v>
      </c>
      <c r="H4" s="52" t="str">
        <f t="shared" si="3"/>
        <v>26 (10)</v>
      </c>
      <c r="I4" s="21">
        <f t="shared" si="4"/>
        <v>0.6923076923</v>
      </c>
      <c r="J4" s="21">
        <f t="shared" si="5"/>
        <v>0.6111111111</v>
      </c>
      <c r="K4" s="21">
        <f t="shared" si="6"/>
        <v>0.6491803279</v>
      </c>
      <c r="M4" s="62">
        <v>17.0</v>
      </c>
      <c r="N4" s="62">
        <v>22.0</v>
      </c>
      <c r="O4" s="62" t="s">
        <v>95</v>
      </c>
      <c r="P4" s="64">
        <v>50000.0</v>
      </c>
      <c r="Q4" s="62" t="s">
        <v>96</v>
      </c>
      <c r="R4" s="21">
        <f t="shared" si="7"/>
        <v>1</v>
      </c>
      <c r="S4" s="21">
        <f t="shared" si="8"/>
        <v>0.6666666667</v>
      </c>
      <c r="T4" s="21">
        <f t="shared" si="9"/>
        <v>0.5</v>
      </c>
      <c r="U4" s="21">
        <f t="shared" si="10"/>
        <v>0.5</v>
      </c>
      <c r="W4" s="62">
        <v>17.0</v>
      </c>
      <c r="X4" s="62">
        <v>22.0</v>
      </c>
      <c r="Y4" s="62" t="s">
        <v>95</v>
      </c>
      <c r="Z4" s="64">
        <v>50000.0</v>
      </c>
      <c r="AA4" s="62" t="s">
        <v>96</v>
      </c>
      <c r="AB4" s="21">
        <f t="shared" si="11"/>
        <v>0.03846153846</v>
      </c>
      <c r="AC4" s="21">
        <f t="shared" si="12"/>
        <v>0.07692307692</v>
      </c>
      <c r="AD4" s="21">
        <f t="shared" si="13"/>
        <v>0.1923076923</v>
      </c>
      <c r="AE4" s="21">
        <f t="shared" si="14"/>
        <v>0.3076923077</v>
      </c>
      <c r="AF4" s="21">
        <f t="shared" si="15"/>
        <v>0.3846153846</v>
      </c>
    </row>
    <row r="5">
      <c r="A5" s="13" t="s">
        <v>27</v>
      </c>
      <c r="B5" s="61">
        <v>4.0</v>
      </c>
      <c r="C5" s="62" t="s">
        <v>97</v>
      </c>
      <c r="E5" s="62" t="s">
        <v>98</v>
      </c>
      <c r="F5" s="52">
        <f t="shared" si="1"/>
        <v>30</v>
      </c>
      <c r="G5" s="53">
        <f t="shared" si="2"/>
        <v>21</v>
      </c>
      <c r="H5" s="52" t="str">
        <f t="shared" si="3"/>
        <v>30 (21)</v>
      </c>
      <c r="I5" s="21">
        <f t="shared" si="4"/>
        <v>0.7</v>
      </c>
      <c r="J5" s="21">
        <f t="shared" si="5"/>
        <v>0.6666666667</v>
      </c>
      <c r="K5" s="21">
        <f t="shared" si="6"/>
        <v>0.6829268293</v>
      </c>
      <c r="M5" s="62">
        <v>17.0</v>
      </c>
      <c r="N5" s="62">
        <v>22.0</v>
      </c>
      <c r="O5" s="62" t="s">
        <v>97</v>
      </c>
      <c r="Q5" s="62" t="s">
        <v>98</v>
      </c>
      <c r="R5" s="21">
        <f t="shared" si="7"/>
        <v>1</v>
      </c>
      <c r="S5" s="21">
        <f t="shared" si="8"/>
        <v>1</v>
      </c>
      <c r="T5" s="21">
        <f t="shared" si="9"/>
        <v>0.75</v>
      </c>
      <c r="U5" s="21">
        <f t="shared" si="10"/>
        <v>0.375</v>
      </c>
      <c r="W5" s="62">
        <v>17.0</v>
      </c>
      <c r="X5" s="62">
        <v>22.0</v>
      </c>
      <c r="Y5" s="62" t="s">
        <v>97</v>
      </c>
      <c r="AA5" s="62" t="s">
        <v>98</v>
      </c>
      <c r="AB5" s="21">
        <f t="shared" si="11"/>
        <v>0.03333333333</v>
      </c>
      <c r="AC5" s="21">
        <f t="shared" si="12"/>
        <v>0.06666666667</v>
      </c>
      <c r="AD5" s="21">
        <f t="shared" si="13"/>
        <v>0.2</v>
      </c>
      <c r="AE5" s="21">
        <f t="shared" si="14"/>
        <v>0.3333333333</v>
      </c>
      <c r="AF5" s="21">
        <f t="shared" si="15"/>
        <v>0.3666666667</v>
      </c>
    </row>
    <row r="6">
      <c r="A6" s="13" t="s">
        <v>27</v>
      </c>
      <c r="B6" s="61">
        <v>3.0</v>
      </c>
      <c r="C6" s="62" t="s">
        <v>95</v>
      </c>
      <c r="D6" s="64">
        <v>25000.0</v>
      </c>
      <c r="E6" s="62" t="s">
        <v>96</v>
      </c>
      <c r="F6" s="52">
        <f t="shared" si="1"/>
        <v>12</v>
      </c>
      <c r="G6" s="53">
        <f t="shared" si="2"/>
        <v>2</v>
      </c>
      <c r="H6" s="52" t="str">
        <f t="shared" si="3"/>
        <v>12 (2)</v>
      </c>
      <c r="I6" s="21">
        <f t="shared" si="4"/>
        <v>0.8333333333</v>
      </c>
      <c r="J6" s="21">
        <f t="shared" si="5"/>
        <v>0.3888888889</v>
      </c>
      <c r="K6" s="21">
        <f t="shared" si="6"/>
        <v>0.5303030303</v>
      </c>
      <c r="M6" s="62">
        <v>30.0</v>
      </c>
      <c r="N6" s="62">
        <v>35.0</v>
      </c>
      <c r="O6" s="62" t="s">
        <v>95</v>
      </c>
      <c r="P6" s="64">
        <v>25000.0</v>
      </c>
      <c r="Q6" s="62" t="s">
        <v>96</v>
      </c>
      <c r="R6" s="21">
        <f t="shared" si="7"/>
        <v>1</v>
      </c>
      <c r="S6" s="21">
        <f t="shared" si="8"/>
        <v>0</v>
      </c>
      <c r="T6" s="21">
        <f t="shared" si="9"/>
        <v>0.25</v>
      </c>
      <c r="U6" s="21">
        <f t="shared" si="10"/>
        <v>0.375</v>
      </c>
      <c r="W6" s="62">
        <v>30.0</v>
      </c>
      <c r="X6" s="62">
        <v>35.0</v>
      </c>
      <c r="Y6" s="62" t="s">
        <v>95</v>
      </c>
      <c r="Z6" s="64">
        <v>25000.0</v>
      </c>
      <c r="AA6" s="62" t="s">
        <v>96</v>
      </c>
      <c r="AB6" s="21">
        <f t="shared" si="11"/>
        <v>0.08333333333</v>
      </c>
      <c r="AC6" s="21">
        <f t="shared" si="12"/>
        <v>0</v>
      </c>
      <c r="AD6" s="21">
        <f t="shared" si="13"/>
        <v>0.08333333333</v>
      </c>
      <c r="AE6" s="21">
        <f t="shared" si="14"/>
        <v>0.3333333333</v>
      </c>
      <c r="AF6" s="21">
        <f t="shared" si="15"/>
        <v>0.5</v>
      </c>
    </row>
    <row r="7">
      <c r="A7" s="13" t="s">
        <v>27</v>
      </c>
      <c r="B7" s="61">
        <v>3.0</v>
      </c>
      <c r="C7" s="62" t="s">
        <v>97</v>
      </c>
      <c r="E7" s="62" t="s">
        <v>98</v>
      </c>
      <c r="F7" s="52">
        <f t="shared" si="1"/>
        <v>29</v>
      </c>
      <c r="G7" s="48">
        <f t="shared" si="2"/>
        <v>18</v>
      </c>
      <c r="H7" s="52" t="str">
        <f t="shared" si="3"/>
        <v>29 (18)</v>
      </c>
      <c r="I7" s="21">
        <f t="shared" si="4"/>
        <v>0.724137931</v>
      </c>
      <c r="J7" s="21">
        <f t="shared" si="5"/>
        <v>0.6666666667</v>
      </c>
      <c r="K7" s="21">
        <f t="shared" si="6"/>
        <v>0.694214876</v>
      </c>
      <c r="M7" s="62">
        <v>30.0</v>
      </c>
      <c r="N7" s="62">
        <v>35.0</v>
      </c>
      <c r="O7" s="62" t="s">
        <v>97</v>
      </c>
      <c r="Q7" s="62" t="s">
        <v>98</v>
      </c>
      <c r="R7" s="21">
        <f t="shared" si="7"/>
        <v>0.6666666667</v>
      </c>
      <c r="S7" s="21">
        <f t="shared" si="8"/>
        <v>1</v>
      </c>
      <c r="T7" s="21">
        <f t="shared" si="9"/>
        <v>0.75</v>
      </c>
      <c r="U7" s="21">
        <f t="shared" si="10"/>
        <v>0.5</v>
      </c>
      <c r="W7" s="62">
        <v>30.0</v>
      </c>
      <c r="X7" s="62">
        <v>35.0</v>
      </c>
      <c r="Y7" s="62" t="s">
        <v>97</v>
      </c>
      <c r="AA7" s="62" t="s">
        <v>98</v>
      </c>
      <c r="AB7" s="21">
        <f t="shared" si="11"/>
        <v>0</v>
      </c>
      <c r="AC7" s="21">
        <f t="shared" si="12"/>
        <v>0.1034482759</v>
      </c>
      <c r="AD7" s="21">
        <f t="shared" si="13"/>
        <v>0.1724137931</v>
      </c>
      <c r="AE7" s="21">
        <f t="shared" si="14"/>
        <v>0.3448275862</v>
      </c>
      <c r="AF7" s="21">
        <f t="shared" si="15"/>
        <v>0.3793103448</v>
      </c>
    </row>
    <row r="8">
      <c r="A8" s="13" t="s">
        <v>27</v>
      </c>
      <c r="B8" s="61">
        <v>2.0</v>
      </c>
      <c r="C8" s="62" t="s">
        <v>95</v>
      </c>
      <c r="D8" s="64">
        <v>10000.0</v>
      </c>
      <c r="E8" s="62" t="s">
        <v>96</v>
      </c>
      <c r="F8" s="52">
        <f t="shared" si="1"/>
        <v>2</v>
      </c>
      <c r="G8" s="52" t="str">
        <f t="shared" si="2"/>
        <v/>
      </c>
      <c r="H8" s="52" t="str">
        <f t="shared" si="3"/>
        <v>2 ()</v>
      </c>
      <c r="I8" s="21">
        <f t="shared" si="4"/>
        <v>1</v>
      </c>
      <c r="J8" s="21">
        <f t="shared" si="5"/>
        <v>0.05555555556</v>
      </c>
      <c r="K8" s="21">
        <f t="shared" si="6"/>
        <v>0.1052631579</v>
      </c>
      <c r="M8" s="62">
        <v>43.0</v>
      </c>
      <c r="N8" s="62">
        <v>48.0</v>
      </c>
      <c r="O8" s="62" t="s">
        <v>95</v>
      </c>
      <c r="P8" s="64">
        <v>10000.0</v>
      </c>
      <c r="Q8" s="62" t="s">
        <v>96</v>
      </c>
      <c r="R8" s="21">
        <f t="shared" si="7"/>
        <v>0.3333333333</v>
      </c>
      <c r="S8" s="21">
        <f t="shared" si="8"/>
        <v>0</v>
      </c>
      <c r="T8" s="21">
        <f t="shared" si="9"/>
        <v>0</v>
      </c>
      <c r="U8" s="21">
        <f t="shared" si="10"/>
        <v>0</v>
      </c>
      <c r="W8" s="62">
        <v>43.0</v>
      </c>
      <c r="X8" s="62">
        <v>48.0</v>
      </c>
      <c r="Y8" s="62" t="s">
        <v>95</v>
      </c>
      <c r="Z8" s="64">
        <v>10000.0</v>
      </c>
      <c r="AA8" s="62" t="s">
        <v>96</v>
      </c>
      <c r="AB8" s="21">
        <f t="shared" si="11"/>
        <v>0</v>
      </c>
      <c r="AC8" s="21">
        <f t="shared" si="12"/>
        <v>0</v>
      </c>
      <c r="AD8" s="21">
        <f t="shared" si="13"/>
        <v>0</v>
      </c>
      <c r="AE8" s="21">
        <f t="shared" si="14"/>
        <v>0.5</v>
      </c>
      <c r="AF8" s="21">
        <f t="shared" si="15"/>
        <v>0.5</v>
      </c>
    </row>
    <row r="9">
      <c r="A9" s="13" t="s">
        <v>27</v>
      </c>
      <c r="B9" s="61">
        <v>2.0</v>
      </c>
      <c r="C9" s="62" t="s">
        <v>97</v>
      </c>
      <c r="E9" s="62" t="s">
        <v>98</v>
      </c>
      <c r="F9" s="52">
        <f t="shared" si="1"/>
        <v>25</v>
      </c>
      <c r="G9" s="52" t="str">
        <f t="shared" si="2"/>
        <v/>
      </c>
      <c r="H9" s="52" t="str">
        <f t="shared" si="3"/>
        <v>25 ()</v>
      </c>
      <c r="I9" s="21">
        <f t="shared" si="4"/>
        <v>0.72</v>
      </c>
      <c r="J9" s="21">
        <f t="shared" si="5"/>
        <v>0.5</v>
      </c>
      <c r="K9" s="21">
        <f t="shared" si="6"/>
        <v>0.5901639344</v>
      </c>
      <c r="M9" s="62">
        <v>43.0</v>
      </c>
      <c r="N9" s="62">
        <v>48.0</v>
      </c>
      <c r="O9" s="62" t="s">
        <v>97</v>
      </c>
      <c r="Q9" s="62" t="s">
        <v>98</v>
      </c>
      <c r="R9" s="21">
        <f t="shared" si="7"/>
        <v>0.6666666667</v>
      </c>
      <c r="S9" s="21">
        <f t="shared" si="8"/>
        <v>1</v>
      </c>
      <c r="T9" s="21">
        <f t="shared" si="9"/>
        <v>0.5</v>
      </c>
      <c r="U9" s="21">
        <f t="shared" si="10"/>
        <v>0.25</v>
      </c>
      <c r="W9" s="62">
        <v>43.0</v>
      </c>
      <c r="X9" s="62">
        <v>48.0</v>
      </c>
      <c r="Y9" s="62" t="s">
        <v>97</v>
      </c>
      <c r="AA9" s="62" t="s">
        <v>98</v>
      </c>
      <c r="AB9" s="21">
        <f t="shared" si="11"/>
        <v>0.04</v>
      </c>
      <c r="AC9" s="21">
        <f t="shared" si="12"/>
        <v>0.04</v>
      </c>
      <c r="AD9" s="21">
        <f t="shared" si="13"/>
        <v>0.2</v>
      </c>
      <c r="AE9" s="21">
        <f t="shared" si="14"/>
        <v>0.36</v>
      </c>
      <c r="AF9" s="21">
        <f t="shared" si="15"/>
        <v>0.36</v>
      </c>
    </row>
    <row r="10">
      <c r="A10" s="11" t="s">
        <v>32</v>
      </c>
      <c r="B10" s="61">
        <v>5.0</v>
      </c>
      <c r="C10" s="62" t="s">
        <v>95</v>
      </c>
      <c r="D10" s="63">
        <v>1.0</v>
      </c>
      <c r="E10" s="62" t="s">
        <v>96</v>
      </c>
      <c r="F10" s="52">
        <f t="shared" si="1"/>
        <v>49</v>
      </c>
      <c r="G10" s="53">
        <f t="shared" si="2"/>
        <v>16</v>
      </c>
      <c r="H10" s="52" t="str">
        <f t="shared" si="3"/>
        <v>49 (16)</v>
      </c>
      <c r="I10" s="21">
        <f t="shared" si="4"/>
        <v>0.5918367347</v>
      </c>
      <c r="J10" s="21">
        <f t="shared" si="5"/>
        <v>0.4347826087</v>
      </c>
      <c r="K10" s="21">
        <f t="shared" si="6"/>
        <v>0.5012964564</v>
      </c>
      <c r="M10" s="62">
        <v>4.0</v>
      </c>
      <c r="N10" s="62">
        <v>9.0</v>
      </c>
      <c r="O10" s="62" t="s">
        <v>95</v>
      </c>
      <c r="P10" s="63">
        <v>1.0</v>
      </c>
      <c r="Q10" s="62" t="s">
        <v>96</v>
      </c>
      <c r="R10" s="21">
        <f t="shared" si="7"/>
        <v>0.3333333333</v>
      </c>
      <c r="S10" s="21">
        <f t="shared" si="8"/>
        <v>0.4285714286</v>
      </c>
      <c r="T10" s="21">
        <f t="shared" si="9"/>
        <v>0.5</v>
      </c>
      <c r="U10" s="21">
        <f t="shared" si="10"/>
        <v>0.4444444444</v>
      </c>
      <c r="W10" s="62">
        <v>4.0</v>
      </c>
      <c r="X10" s="62">
        <v>9.0</v>
      </c>
      <c r="Y10" s="62" t="s">
        <v>95</v>
      </c>
      <c r="Z10" s="63">
        <v>1.0</v>
      </c>
      <c r="AA10" s="62" t="s">
        <v>96</v>
      </c>
      <c r="AB10" s="21">
        <f t="shared" si="11"/>
        <v>0.04081632653</v>
      </c>
      <c r="AC10" s="21">
        <f t="shared" si="12"/>
        <v>0.2448979592</v>
      </c>
      <c r="AD10" s="21">
        <f t="shared" si="13"/>
        <v>0.1224489796</v>
      </c>
      <c r="AE10" s="21">
        <f t="shared" si="14"/>
        <v>0.387755102</v>
      </c>
      <c r="AF10" s="21">
        <f t="shared" si="15"/>
        <v>0.2040816327</v>
      </c>
    </row>
    <row r="11">
      <c r="A11" s="11" t="s">
        <v>32</v>
      </c>
      <c r="B11" s="61">
        <v>5.0</v>
      </c>
      <c r="C11" s="62" t="s">
        <v>97</v>
      </c>
      <c r="E11" s="62" t="s">
        <v>98</v>
      </c>
      <c r="F11" s="52">
        <f t="shared" si="1"/>
        <v>35</v>
      </c>
      <c r="G11" s="53">
        <f t="shared" si="2"/>
        <v>20</v>
      </c>
      <c r="H11" s="52" t="str">
        <f t="shared" si="3"/>
        <v>35 (20)</v>
      </c>
      <c r="I11" s="21">
        <f t="shared" si="4"/>
        <v>0.7142857143</v>
      </c>
      <c r="J11" s="21">
        <f t="shared" si="5"/>
        <v>0.4347826087</v>
      </c>
      <c r="K11" s="21">
        <f t="shared" si="6"/>
        <v>0.5405405405</v>
      </c>
      <c r="M11" s="62">
        <v>4.0</v>
      </c>
      <c r="N11" s="62">
        <v>9.0</v>
      </c>
      <c r="O11" s="62" t="s">
        <v>97</v>
      </c>
      <c r="Q11" s="62" t="s">
        <v>98</v>
      </c>
      <c r="R11" s="21">
        <f t="shared" si="7"/>
        <v>1</v>
      </c>
      <c r="S11" s="21">
        <f t="shared" si="8"/>
        <v>0.4285714286</v>
      </c>
      <c r="T11" s="21">
        <f t="shared" si="9"/>
        <v>0.5</v>
      </c>
      <c r="U11" s="21">
        <f t="shared" si="10"/>
        <v>0.2222222222</v>
      </c>
      <c r="W11" s="62">
        <v>4.0</v>
      </c>
      <c r="X11" s="62">
        <v>9.0</v>
      </c>
      <c r="Y11" s="62" t="s">
        <v>97</v>
      </c>
      <c r="AA11" s="62" t="s">
        <v>98</v>
      </c>
      <c r="AB11" s="21">
        <f t="shared" si="11"/>
        <v>0.1142857143</v>
      </c>
      <c r="AC11" s="21">
        <f t="shared" si="12"/>
        <v>0.02857142857</v>
      </c>
      <c r="AD11" s="21">
        <f t="shared" si="13"/>
        <v>0.1428571429</v>
      </c>
      <c r="AE11" s="21">
        <f t="shared" si="14"/>
        <v>0.4285714286</v>
      </c>
      <c r="AF11" s="21">
        <f t="shared" si="15"/>
        <v>0.2857142857</v>
      </c>
    </row>
    <row r="12">
      <c r="A12" s="11" t="s">
        <v>32</v>
      </c>
      <c r="B12" s="61">
        <v>4.0</v>
      </c>
      <c r="C12" s="62" t="s">
        <v>95</v>
      </c>
      <c r="D12" s="64">
        <v>50000.0</v>
      </c>
      <c r="E12" s="62" t="s">
        <v>96</v>
      </c>
      <c r="F12" s="52">
        <f t="shared" si="1"/>
        <v>30</v>
      </c>
      <c r="G12" s="53">
        <f t="shared" si="2"/>
        <v>8</v>
      </c>
      <c r="H12" s="52" t="str">
        <f t="shared" si="3"/>
        <v>30 (8)</v>
      </c>
      <c r="I12" s="21">
        <f t="shared" si="4"/>
        <v>0.5333333333</v>
      </c>
      <c r="J12" s="21">
        <f t="shared" si="5"/>
        <v>0.3043478261</v>
      </c>
      <c r="K12" s="21">
        <f t="shared" si="6"/>
        <v>0.3875432526</v>
      </c>
      <c r="M12" s="62">
        <v>17.0</v>
      </c>
      <c r="N12" s="62">
        <v>22.0</v>
      </c>
      <c r="O12" s="62" t="s">
        <v>95</v>
      </c>
      <c r="P12" s="64">
        <v>50000.0</v>
      </c>
      <c r="Q12" s="62" t="s">
        <v>96</v>
      </c>
      <c r="R12" s="21">
        <f t="shared" si="7"/>
        <v>0.6666666667</v>
      </c>
      <c r="S12" s="21">
        <f t="shared" si="8"/>
        <v>0.1428571429</v>
      </c>
      <c r="T12" s="21">
        <f t="shared" si="9"/>
        <v>0.25</v>
      </c>
      <c r="U12" s="21">
        <f t="shared" si="10"/>
        <v>0.3333333333</v>
      </c>
      <c r="W12" s="62">
        <v>17.0</v>
      </c>
      <c r="X12" s="62">
        <v>22.0</v>
      </c>
      <c r="Y12" s="62" t="s">
        <v>95</v>
      </c>
      <c r="Z12" s="64">
        <v>50000.0</v>
      </c>
      <c r="AA12" s="62" t="s">
        <v>96</v>
      </c>
      <c r="AB12" s="21">
        <f t="shared" si="11"/>
        <v>0.06666666667</v>
      </c>
      <c r="AC12" s="21">
        <f t="shared" si="12"/>
        <v>0.2</v>
      </c>
      <c r="AD12" s="21">
        <f t="shared" si="13"/>
        <v>0.2</v>
      </c>
      <c r="AE12" s="21">
        <f t="shared" si="14"/>
        <v>0.3</v>
      </c>
      <c r="AF12" s="21">
        <f t="shared" si="15"/>
        <v>0.2333333333</v>
      </c>
    </row>
    <row r="13">
      <c r="A13" s="11" t="s">
        <v>32</v>
      </c>
      <c r="B13" s="61">
        <v>4.0</v>
      </c>
      <c r="C13" s="62" t="s">
        <v>97</v>
      </c>
      <c r="E13" s="62" t="s">
        <v>98</v>
      </c>
      <c r="F13" s="52">
        <f t="shared" si="1"/>
        <v>30</v>
      </c>
      <c r="G13" s="53">
        <f t="shared" si="2"/>
        <v>19</v>
      </c>
      <c r="H13" s="52" t="str">
        <f t="shared" si="3"/>
        <v>30 (19)</v>
      </c>
      <c r="I13" s="21">
        <f t="shared" si="4"/>
        <v>0.6666666667</v>
      </c>
      <c r="J13" s="21">
        <f t="shared" si="5"/>
        <v>0.3913043478</v>
      </c>
      <c r="K13" s="21">
        <f t="shared" si="6"/>
        <v>0.4931506849</v>
      </c>
      <c r="M13" s="62">
        <v>17.0</v>
      </c>
      <c r="N13" s="62">
        <v>22.0</v>
      </c>
      <c r="O13" s="62" t="s">
        <v>97</v>
      </c>
      <c r="Q13" s="62" t="s">
        <v>98</v>
      </c>
      <c r="R13" s="21">
        <f t="shared" si="7"/>
        <v>1</v>
      </c>
      <c r="S13" s="21">
        <f t="shared" si="8"/>
        <v>0.2857142857</v>
      </c>
      <c r="T13" s="21">
        <f t="shared" si="9"/>
        <v>0.25</v>
      </c>
      <c r="U13" s="21">
        <f t="shared" si="10"/>
        <v>0.3333333333</v>
      </c>
      <c r="W13" s="62">
        <v>17.0</v>
      </c>
      <c r="X13" s="62">
        <v>22.0</v>
      </c>
      <c r="Y13" s="62" t="s">
        <v>97</v>
      </c>
      <c r="AA13" s="62" t="s">
        <v>98</v>
      </c>
      <c r="AB13" s="21">
        <f t="shared" si="11"/>
        <v>0.1</v>
      </c>
      <c r="AC13" s="21">
        <f t="shared" si="12"/>
        <v>0.1</v>
      </c>
      <c r="AD13" s="21">
        <f t="shared" si="13"/>
        <v>0.1333333333</v>
      </c>
      <c r="AE13" s="21">
        <f t="shared" si="14"/>
        <v>0.3666666667</v>
      </c>
      <c r="AF13" s="21">
        <f t="shared" si="15"/>
        <v>0.3</v>
      </c>
    </row>
    <row r="14">
      <c r="A14" s="11" t="s">
        <v>32</v>
      </c>
      <c r="B14" s="61">
        <v>3.0</v>
      </c>
      <c r="C14" s="62" t="s">
        <v>95</v>
      </c>
      <c r="D14" s="64">
        <v>25000.0</v>
      </c>
      <c r="E14" s="62" t="s">
        <v>96</v>
      </c>
      <c r="F14" s="52">
        <f t="shared" si="1"/>
        <v>13</v>
      </c>
      <c r="G14" s="53">
        <f t="shared" si="2"/>
        <v>2</v>
      </c>
      <c r="H14" s="52" t="str">
        <f t="shared" si="3"/>
        <v>13 (2)</v>
      </c>
      <c r="I14" s="21">
        <f t="shared" si="4"/>
        <v>0.6153846154</v>
      </c>
      <c r="J14" s="21">
        <f t="shared" si="5"/>
        <v>0.1304347826</v>
      </c>
      <c r="K14" s="21">
        <f t="shared" si="6"/>
        <v>0.2152466368</v>
      </c>
      <c r="M14" s="62">
        <v>30.0</v>
      </c>
      <c r="N14" s="62">
        <v>35.0</v>
      </c>
      <c r="O14" s="62" t="s">
        <v>95</v>
      </c>
      <c r="P14" s="64">
        <v>25000.0</v>
      </c>
      <c r="Q14" s="62" t="s">
        <v>96</v>
      </c>
      <c r="R14" s="21">
        <f t="shared" si="7"/>
        <v>0.3333333333</v>
      </c>
      <c r="S14" s="21">
        <f t="shared" si="8"/>
        <v>0.1428571429</v>
      </c>
      <c r="T14" s="21">
        <f t="shared" si="9"/>
        <v>0</v>
      </c>
      <c r="U14" s="21">
        <f t="shared" si="10"/>
        <v>0.1111111111</v>
      </c>
      <c r="W14" s="62">
        <v>30.0</v>
      </c>
      <c r="X14" s="62">
        <v>35.0</v>
      </c>
      <c r="Y14" s="62" t="s">
        <v>95</v>
      </c>
      <c r="Z14" s="64">
        <v>25000.0</v>
      </c>
      <c r="AA14" s="62" t="s">
        <v>96</v>
      </c>
      <c r="AB14" s="21">
        <f t="shared" si="11"/>
        <v>0</v>
      </c>
      <c r="AC14" s="21">
        <f t="shared" si="12"/>
        <v>0.2307692308</v>
      </c>
      <c r="AD14" s="21">
        <f t="shared" si="13"/>
        <v>0.1538461538</v>
      </c>
      <c r="AE14" s="21">
        <f t="shared" si="14"/>
        <v>0.3846153846</v>
      </c>
      <c r="AF14" s="21">
        <f t="shared" si="15"/>
        <v>0.2307692308</v>
      </c>
    </row>
    <row r="15">
      <c r="A15" s="11" t="s">
        <v>32</v>
      </c>
      <c r="B15" s="61">
        <v>3.0</v>
      </c>
      <c r="C15" s="62" t="s">
        <v>97</v>
      </c>
      <c r="E15" s="62" t="s">
        <v>98</v>
      </c>
      <c r="F15" s="52">
        <f t="shared" si="1"/>
        <v>24</v>
      </c>
      <c r="G15" s="48">
        <f t="shared" si="2"/>
        <v>23</v>
      </c>
      <c r="H15" s="52" t="str">
        <f t="shared" si="3"/>
        <v>24 (23)</v>
      </c>
      <c r="I15" s="21">
        <f t="shared" si="4"/>
        <v>0.7916666667</v>
      </c>
      <c r="J15" s="21">
        <f t="shared" si="5"/>
        <v>0.347826087</v>
      </c>
      <c r="K15" s="21">
        <f t="shared" si="6"/>
        <v>0.4833068362</v>
      </c>
      <c r="M15" s="62">
        <v>30.0</v>
      </c>
      <c r="N15" s="62">
        <v>35.0</v>
      </c>
      <c r="O15" s="62" t="s">
        <v>97</v>
      </c>
      <c r="Q15" s="62" t="s">
        <v>98</v>
      </c>
      <c r="R15" s="21">
        <f t="shared" si="7"/>
        <v>1</v>
      </c>
      <c r="S15" s="21">
        <f t="shared" si="8"/>
        <v>0.4285714286</v>
      </c>
      <c r="T15" s="21">
        <f t="shared" si="9"/>
        <v>0.25</v>
      </c>
      <c r="U15" s="21">
        <f t="shared" si="10"/>
        <v>0.1111111111</v>
      </c>
      <c r="W15" s="62">
        <v>30.0</v>
      </c>
      <c r="X15" s="62">
        <v>35.0</v>
      </c>
      <c r="Y15" s="62" t="s">
        <v>97</v>
      </c>
      <c r="AA15" s="62" t="s">
        <v>98</v>
      </c>
      <c r="AB15" s="21">
        <f t="shared" si="11"/>
        <v>0.125</v>
      </c>
      <c r="AC15" s="21">
        <f t="shared" si="12"/>
        <v>0</v>
      </c>
      <c r="AD15" s="21">
        <f t="shared" si="13"/>
        <v>0.08333333333</v>
      </c>
      <c r="AE15" s="21">
        <f t="shared" si="14"/>
        <v>0.4583333333</v>
      </c>
      <c r="AF15" s="21">
        <f t="shared" si="15"/>
        <v>0.3333333333</v>
      </c>
    </row>
    <row r="16">
      <c r="A16" s="11" t="s">
        <v>32</v>
      </c>
      <c r="B16" s="61">
        <v>2.0</v>
      </c>
      <c r="C16" s="62" t="s">
        <v>95</v>
      </c>
      <c r="D16" s="64">
        <v>10000.0</v>
      </c>
      <c r="E16" s="62" t="s">
        <v>96</v>
      </c>
      <c r="F16" s="52">
        <f t="shared" si="1"/>
        <v>3</v>
      </c>
      <c r="G16" s="52" t="str">
        <f t="shared" si="2"/>
        <v/>
      </c>
      <c r="H16" s="52" t="str">
        <f t="shared" si="3"/>
        <v>3 ()</v>
      </c>
      <c r="I16" s="21">
        <f t="shared" si="4"/>
        <v>0.6666666667</v>
      </c>
      <c r="J16" s="21">
        <f t="shared" si="5"/>
        <v>0.08695652174</v>
      </c>
      <c r="K16" s="21">
        <f t="shared" si="6"/>
        <v>0.1538461538</v>
      </c>
      <c r="M16" s="62">
        <v>43.0</v>
      </c>
      <c r="N16" s="62">
        <v>48.0</v>
      </c>
      <c r="O16" s="62" t="s">
        <v>95</v>
      </c>
      <c r="P16" s="64">
        <v>10000.0</v>
      </c>
      <c r="Q16" s="62" t="s">
        <v>96</v>
      </c>
      <c r="R16" s="21">
        <f t="shared" si="7"/>
        <v>0.6666666667</v>
      </c>
      <c r="S16" s="21">
        <f t="shared" si="8"/>
        <v>0</v>
      </c>
      <c r="T16" s="21">
        <f t="shared" si="9"/>
        <v>0</v>
      </c>
      <c r="U16" s="21">
        <f t="shared" si="10"/>
        <v>0</v>
      </c>
      <c r="W16" s="62">
        <v>43.0</v>
      </c>
      <c r="X16" s="62">
        <v>48.0</v>
      </c>
      <c r="Y16" s="62" t="s">
        <v>95</v>
      </c>
      <c r="Z16" s="64">
        <v>10000.0</v>
      </c>
      <c r="AA16" s="62" t="s">
        <v>96</v>
      </c>
      <c r="AB16" s="21">
        <f t="shared" si="11"/>
        <v>0</v>
      </c>
      <c r="AC16" s="21">
        <f t="shared" si="12"/>
        <v>0.3333333333</v>
      </c>
      <c r="AD16" s="21">
        <f t="shared" si="13"/>
        <v>0</v>
      </c>
      <c r="AE16" s="21">
        <f t="shared" si="14"/>
        <v>0</v>
      </c>
      <c r="AF16" s="21">
        <f t="shared" si="15"/>
        <v>0.6666666667</v>
      </c>
    </row>
    <row r="17">
      <c r="A17" s="11" t="s">
        <v>32</v>
      </c>
      <c r="B17" s="61">
        <v>2.0</v>
      </c>
      <c r="C17" s="62" t="s">
        <v>97</v>
      </c>
      <c r="E17" s="62" t="s">
        <v>98</v>
      </c>
      <c r="F17" s="52">
        <f t="shared" si="1"/>
        <v>38</v>
      </c>
      <c r="G17" s="52" t="str">
        <f t="shared" si="2"/>
        <v/>
      </c>
      <c r="H17" s="52" t="str">
        <f t="shared" si="3"/>
        <v>38 ()</v>
      </c>
      <c r="I17" s="21">
        <f t="shared" si="4"/>
        <v>0.6052631579</v>
      </c>
      <c r="J17" s="21">
        <f t="shared" si="5"/>
        <v>0.347826087</v>
      </c>
      <c r="K17" s="21">
        <f t="shared" si="6"/>
        <v>0.4417767107</v>
      </c>
      <c r="M17" s="62">
        <v>43.0</v>
      </c>
      <c r="N17" s="62">
        <v>48.0</v>
      </c>
      <c r="O17" s="62" t="s">
        <v>97</v>
      </c>
      <c r="Q17" s="62" t="s">
        <v>98</v>
      </c>
      <c r="R17" s="21">
        <f t="shared" si="7"/>
        <v>1</v>
      </c>
      <c r="S17" s="21">
        <f t="shared" si="8"/>
        <v>0.4285714286</v>
      </c>
      <c r="T17" s="21">
        <f t="shared" si="9"/>
        <v>0.25</v>
      </c>
      <c r="U17" s="21">
        <f t="shared" si="10"/>
        <v>0.1111111111</v>
      </c>
      <c r="W17" s="62">
        <v>43.0</v>
      </c>
      <c r="X17" s="62">
        <v>48.0</v>
      </c>
      <c r="Y17" s="62" t="s">
        <v>97</v>
      </c>
      <c r="AA17" s="62" t="s">
        <v>98</v>
      </c>
      <c r="AB17" s="21">
        <f t="shared" si="11"/>
        <v>0.02631578947</v>
      </c>
      <c r="AC17" s="21">
        <f t="shared" si="12"/>
        <v>0.1578947368</v>
      </c>
      <c r="AD17" s="21">
        <f t="shared" si="13"/>
        <v>0.2105263158</v>
      </c>
      <c r="AE17" s="21">
        <f t="shared" si="14"/>
        <v>0.3947368421</v>
      </c>
      <c r="AF17" s="21">
        <f t="shared" si="15"/>
        <v>0.2105263158</v>
      </c>
    </row>
    <row r="18">
      <c r="A18" s="11" t="s">
        <v>22</v>
      </c>
      <c r="B18" s="61">
        <v>5.0</v>
      </c>
      <c r="C18" s="62" t="s">
        <v>95</v>
      </c>
      <c r="D18" s="63">
        <v>1.0</v>
      </c>
      <c r="E18" s="62" t="s">
        <v>96</v>
      </c>
      <c r="F18" s="52">
        <f t="shared" si="1"/>
        <v>39</v>
      </c>
      <c r="G18" s="53">
        <f t="shared" si="2"/>
        <v>13</v>
      </c>
      <c r="H18" s="52" t="str">
        <f t="shared" si="3"/>
        <v>39 (13)</v>
      </c>
      <c r="I18" s="21">
        <f t="shared" si="4"/>
        <v>0.5128205128</v>
      </c>
      <c r="J18" s="21">
        <f t="shared" si="5"/>
        <v>0.5555555556</v>
      </c>
      <c r="K18" s="21">
        <f t="shared" si="6"/>
        <v>0.5333333333</v>
      </c>
      <c r="M18" s="62">
        <v>4.0</v>
      </c>
      <c r="N18" s="62">
        <v>9.0</v>
      </c>
      <c r="O18" s="62" t="s">
        <v>95</v>
      </c>
      <c r="P18" s="63">
        <v>1.0</v>
      </c>
      <c r="Q18" s="62" t="s">
        <v>96</v>
      </c>
      <c r="R18" s="21">
        <f t="shared" si="7"/>
        <v>1</v>
      </c>
      <c r="S18" s="21">
        <f t="shared" si="8"/>
        <v>0.5</v>
      </c>
      <c r="T18" s="21">
        <f t="shared" si="9"/>
        <v>0.5</v>
      </c>
      <c r="U18" s="21">
        <f t="shared" si="10"/>
        <v>0.4444444444</v>
      </c>
      <c r="W18" s="62">
        <v>4.0</v>
      </c>
      <c r="X18" s="62">
        <v>9.0</v>
      </c>
      <c r="Y18" s="62" t="s">
        <v>95</v>
      </c>
      <c r="Z18" s="63">
        <v>1.0</v>
      </c>
      <c r="AA18" s="62" t="s">
        <v>96</v>
      </c>
      <c r="AB18" s="21">
        <f t="shared" si="11"/>
        <v>0.05128205128</v>
      </c>
      <c r="AC18" s="21">
        <f t="shared" si="12"/>
        <v>0.1282051282</v>
      </c>
      <c r="AD18" s="21">
        <f t="shared" si="13"/>
        <v>0.3076923077</v>
      </c>
      <c r="AE18" s="21">
        <f t="shared" si="14"/>
        <v>0.358974359</v>
      </c>
      <c r="AF18" s="21">
        <f t="shared" si="15"/>
        <v>0.1538461538</v>
      </c>
    </row>
    <row r="19">
      <c r="A19" s="11" t="s">
        <v>22</v>
      </c>
      <c r="B19" s="61">
        <v>5.0</v>
      </c>
      <c r="C19" s="62" t="s">
        <v>97</v>
      </c>
      <c r="E19" s="62" t="s">
        <v>98</v>
      </c>
      <c r="F19" s="52">
        <f t="shared" si="1"/>
        <v>36</v>
      </c>
      <c r="G19" s="53">
        <f t="shared" si="2"/>
        <v>15</v>
      </c>
      <c r="H19" s="52" t="str">
        <f t="shared" si="3"/>
        <v>36 (15)</v>
      </c>
      <c r="I19" s="21">
        <f t="shared" si="4"/>
        <v>0.6667</v>
      </c>
      <c r="J19" s="21">
        <f t="shared" si="5"/>
        <v>0.5</v>
      </c>
      <c r="K19" s="21">
        <f t="shared" si="6"/>
        <v>0.571440816</v>
      </c>
      <c r="M19" s="62">
        <v>4.0</v>
      </c>
      <c r="N19" s="62">
        <v>9.0</v>
      </c>
      <c r="O19" s="62" t="s">
        <v>97</v>
      </c>
      <c r="Q19" s="62" t="s">
        <v>98</v>
      </c>
      <c r="R19" s="21">
        <f t="shared" si="7"/>
        <v>1</v>
      </c>
      <c r="S19" s="21">
        <f t="shared" si="8"/>
        <v>0</v>
      </c>
      <c r="T19" s="21">
        <f t="shared" si="9"/>
        <v>0.25</v>
      </c>
      <c r="U19" s="21">
        <f t="shared" si="10"/>
        <v>0.5556</v>
      </c>
      <c r="W19" s="62">
        <v>4.0</v>
      </c>
      <c r="X19" s="62">
        <v>9.0</v>
      </c>
      <c r="Y19" s="62" t="s">
        <v>97</v>
      </c>
      <c r="AA19" s="62" t="s">
        <v>98</v>
      </c>
      <c r="AB19" s="21">
        <f t="shared" si="11"/>
        <v>0</v>
      </c>
      <c r="AC19" s="21">
        <f t="shared" si="12"/>
        <v>0.0833</v>
      </c>
      <c r="AD19" s="21">
        <f t="shared" si="13"/>
        <v>0.25</v>
      </c>
      <c r="AE19" s="21">
        <f t="shared" si="14"/>
        <v>0.4722</v>
      </c>
      <c r="AF19" s="21">
        <f t="shared" si="15"/>
        <v>0.1944</v>
      </c>
    </row>
    <row r="20">
      <c r="A20" s="11" t="s">
        <v>22</v>
      </c>
      <c r="B20" s="61">
        <v>4.0</v>
      </c>
      <c r="C20" s="62" t="s">
        <v>95</v>
      </c>
      <c r="D20" s="64">
        <v>50000.0</v>
      </c>
      <c r="E20" s="62" t="s">
        <v>96</v>
      </c>
      <c r="F20" s="52">
        <f t="shared" si="1"/>
        <v>23</v>
      </c>
      <c r="G20" s="53">
        <f t="shared" si="2"/>
        <v>8</v>
      </c>
      <c r="H20" s="52" t="str">
        <f t="shared" si="3"/>
        <v>23 (8)</v>
      </c>
      <c r="I20" s="21">
        <f t="shared" si="4"/>
        <v>0.5652173913</v>
      </c>
      <c r="J20" s="21">
        <f t="shared" si="5"/>
        <v>0.3888888889</v>
      </c>
      <c r="K20" s="21">
        <f t="shared" si="6"/>
        <v>0.4607594937</v>
      </c>
      <c r="M20" s="62">
        <v>17.0</v>
      </c>
      <c r="N20" s="62">
        <v>22.0</v>
      </c>
      <c r="O20" s="62" t="s">
        <v>95</v>
      </c>
      <c r="P20" s="64">
        <v>50000.0</v>
      </c>
      <c r="Q20" s="62" t="s">
        <v>96</v>
      </c>
      <c r="R20" s="21">
        <f t="shared" si="7"/>
        <v>1</v>
      </c>
      <c r="S20" s="21">
        <f t="shared" si="8"/>
        <v>0</v>
      </c>
      <c r="T20" s="21">
        <f t="shared" si="9"/>
        <v>0</v>
      </c>
      <c r="U20" s="21">
        <f t="shared" si="10"/>
        <v>0.4444444444</v>
      </c>
      <c r="W20" s="62">
        <v>17.0</v>
      </c>
      <c r="X20" s="62">
        <v>22.0</v>
      </c>
      <c r="Y20" s="62" t="s">
        <v>95</v>
      </c>
      <c r="Z20" s="64">
        <v>50000.0</v>
      </c>
      <c r="AA20" s="62" t="s">
        <v>96</v>
      </c>
      <c r="AB20" s="21">
        <f t="shared" si="11"/>
        <v>0.04347826087</v>
      </c>
      <c r="AC20" s="21">
        <f t="shared" si="12"/>
        <v>0.08695652174</v>
      </c>
      <c r="AD20" s="21">
        <f t="shared" si="13"/>
        <v>0.3043478261</v>
      </c>
      <c r="AE20" s="21">
        <f t="shared" si="14"/>
        <v>0.3043478261</v>
      </c>
      <c r="AF20" s="21">
        <f t="shared" si="15"/>
        <v>0.2608695652</v>
      </c>
    </row>
    <row r="21">
      <c r="A21" s="11" t="s">
        <v>22</v>
      </c>
      <c r="B21" s="61">
        <v>4.0</v>
      </c>
      <c r="C21" s="62" t="s">
        <v>97</v>
      </c>
      <c r="E21" s="62" t="s">
        <v>98</v>
      </c>
      <c r="F21" s="52">
        <f t="shared" si="1"/>
        <v>28</v>
      </c>
      <c r="G21" s="53">
        <f t="shared" si="2"/>
        <v>14</v>
      </c>
      <c r="H21" s="52" t="str">
        <f t="shared" si="3"/>
        <v>28 (14)</v>
      </c>
      <c r="I21" s="21">
        <f t="shared" si="4"/>
        <v>0.5357142857</v>
      </c>
      <c r="J21" s="21">
        <f t="shared" si="5"/>
        <v>0.3888888889</v>
      </c>
      <c r="K21" s="21">
        <f t="shared" si="6"/>
        <v>0.4506437768</v>
      </c>
      <c r="M21" s="62">
        <v>17.0</v>
      </c>
      <c r="N21" s="62">
        <v>22.0</v>
      </c>
      <c r="O21" s="62" t="s">
        <v>97</v>
      </c>
      <c r="Q21" s="62" t="s">
        <v>98</v>
      </c>
      <c r="R21" s="21">
        <f t="shared" si="7"/>
        <v>1</v>
      </c>
      <c r="S21" s="21">
        <f t="shared" si="8"/>
        <v>0</v>
      </c>
      <c r="T21" s="21">
        <f t="shared" si="9"/>
        <v>0</v>
      </c>
      <c r="U21" s="21">
        <f t="shared" si="10"/>
        <v>0.4444444444</v>
      </c>
      <c r="W21" s="62">
        <v>17.0</v>
      </c>
      <c r="X21" s="62">
        <v>22.0</v>
      </c>
      <c r="Y21" s="62" t="s">
        <v>97</v>
      </c>
      <c r="AA21" s="62" t="s">
        <v>98</v>
      </c>
      <c r="AB21" s="21">
        <f t="shared" si="11"/>
        <v>0.1071428571</v>
      </c>
      <c r="AC21" s="21">
        <f t="shared" si="12"/>
        <v>0.07142857143</v>
      </c>
      <c r="AD21" s="21">
        <f t="shared" si="13"/>
        <v>0.2857142857</v>
      </c>
      <c r="AE21" s="21">
        <f t="shared" si="14"/>
        <v>0.3571428571</v>
      </c>
      <c r="AF21" s="21">
        <f t="shared" si="15"/>
        <v>0.1785714286</v>
      </c>
    </row>
    <row r="22">
      <c r="A22" s="11" t="s">
        <v>22</v>
      </c>
      <c r="B22" s="61">
        <v>3.0</v>
      </c>
      <c r="C22" s="62" t="s">
        <v>95</v>
      </c>
      <c r="D22" s="64">
        <v>25000.0</v>
      </c>
      <c r="E22" s="62" t="s">
        <v>96</v>
      </c>
      <c r="F22" s="52">
        <f t="shared" si="1"/>
        <v>15</v>
      </c>
      <c r="G22" s="53">
        <f t="shared" si="2"/>
        <v>4</v>
      </c>
      <c r="H22" s="52" t="str">
        <f t="shared" si="3"/>
        <v>15 (4)</v>
      </c>
      <c r="I22" s="21">
        <f t="shared" si="4"/>
        <v>0.5333333333</v>
      </c>
      <c r="J22" s="21">
        <f t="shared" si="5"/>
        <v>0.1666666667</v>
      </c>
      <c r="K22" s="21">
        <f t="shared" si="6"/>
        <v>0.253968254</v>
      </c>
      <c r="M22" s="62">
        <v>30.0</v>
      </c>
      <c r="N22" s="62">
        <v>35.0</v>
      </c>
      <c r="O22" s="62" t="s">
        <v>95</v>
      </c>
      <c r="P22" s="64">
        <v>25000.0</v>
      </c>
      <c r="Q22" s="62" t="s">
        <v>96</v>
      </c>
      <c r="R22" s="21">
        <f t="shared" si="7"/>
        <v>0.3333333333</v>
      </c>
      <c r="S22" s="21">
        <f t="shared" si="8"/>
        <v>0</v>
      </c>
      <c r="T22" s="21">
        <f t="shared" si="9"/>
        <v>0</v>
      </c>
      <c r="U22" s="21">
        <f t="shared" si="10"/>
        <v>0.2222222222</v>
      </c>
      <c r="W22" s="62">
        <v>30.0</v>
      </c>
      <c r="X22" s="62">
        <v>35.0</v>
      </c>
      <c r="Y22" s="62" t="s">
        <v>95</v>
      </c>
      <c r="Z22" s="64">
        <v>25000.0</v>
      </c>
      <c r="AA22" s="62" t="s">
        <v>96</v>
      </c>
      <c r="AB22" s="21">
        <f t="shared" si="11"/>
        <v>0.06666666667</v>
      </c>
      <c r="AC22" s="21">
        <f t="shared" si="12"/>
        <v>0.2</v>
      </c>
      <c r="AD22" s="21">
        <f t="shared" si="13"/>
        <v>0.2</v>
      </c>
      <c r="AE22" s="21">
        <f t="shared" si="14"/>
        <v>0.3333333333</v>
      </c>
      <c r="AF22" s="21">
        <f t="shared" si="15"/>
        <v>0.2</v>
      </c>
    </row>
    <row r="23">
      <c r="A23" s="11" t="s">
        <v>22</v>
      </c>
      <c r="B23" s="61">
        <v>3.0</v>
      </c>
      <c r="C23" s="62" t="s">
        <v>97</v>
      </c>
      <c r="E23" s="62" t="s">
        <v>98</v>
      </c>
      <c r="F23" s="52">
        <f t="shared" si="1"/>
        <v>21</v>
      </c>
      <c r="G23" s="48">
        <f t="shared" si="2"/>
        <v>16</v>
      </c>
      <c r="H23" s="52" t="str">
        <f t="shared" si="3"/>
        <v>21 (16)</v>
      </c>
      <c r="I23" s="21">
        <f t="shared" si="4"/>
        <v>0.6666666667</v>
      </c>
      <c r="J23" s="21">
        <f t="shared" si="5"/>
        <v>0.3333333333</v>
      </c>
      <c r="K23" s="21">
        <f t="shared" si="6"/>
        <v>0.4444444444</v>
      </c>
      <c r="M23" s="62">
        <v>30.0</v>
      </c>
      <c r="N23" s="62">
        <v>35.0</v>
      </c>
      <c r="O23" s="62" t="s">
        <v>97</v>
      </c>
      <c r="Q23" s="62" t="s">
        <v>98</v>
      </c>
      <c r="R23" s="21">
        <f t="shared" si="7"/>
        <v>1</v>
      </c>
      <c r="S23" s="21">
        <f t="shared" si="8"/>
        <v>0</v>
      </c>
      <c r="T23" s="21">
        <f t="shared" si="9"/>
        <v>0.25</v>
      </c>
      <c r="U23" s="21">
        <f t="shared" si="10"/>
        <v>0.2222222222</v>
      </c>
      <c r="W23" s="62">
        <v>30.0</v>
      </c>
      <c r="X23" s="62">
        <v>35.0</v>
      </c>
      <c r="Y23" s="62" t="s">
        <v>97</v>
      </c>
      <c r="AA23" s="62" t="s">
        <v>98</v>
      </c>
      <c r="AB23" s="21">
        <f t="shared" si="11"/>
        <v>0.1428571429</v>
      </c>
      <c r="AC23" s="21">
        <f t="shared" si="12"/>
        <v>0.09523809524</v>
      </c>
      <c r="AD23" s="21">
        <f t="shared" si="13"/>
        <v>0.09523809524</v>
      </c>
      <c r="AE23" s="21">
        <f t="shared" si="14"/>
        <v>0.4285714286</v>
      </c>
      <c r="AF23" s="21">
        <f t="shared" si="15"/>
        <v>0.2380952381</v>
      </c>
    </row>
    <row r="24">
      <c r="A24" s="11" t="s">
        <v>22</v>
      </c>
      <c r="B24" s="61">
        <v>2.0</v>
      </c>
      <c r="C24" s="62" t="s">
        <v>95</v>
      </c>
      <c r="D24" s="64">
        <v>10000.0</v>
      </c>
      <c r="E24" s="62" t="s">
        <v>96</v>
      </c>
      <c r="F24" s="52">
        <f t="shared" si="1"/>
        <v>4</v>
      </c>
      <c r="G24" s="52" t="str">
        <f t="shared" si="2"/>
        <v/>
      </c>
      <c r="H24" s="52" t="str">
        <f t="shared" si="3"/>
        <v>4 ()</v>
      </c>
      <c r="I24" s="21">
        <f t="shared" si="4"/>
        <v>1</v>
      </c>
      <c r="J24" s="21">
        <f t="shared" si="5"/>
        <v>0.2777777778</v>
      </c>
      <c r="K24" s="21">
        <f t="shared" si="6"/>
        <v>0.4347826087</v>
      </c>
      <c r="M24" s="62">
        <v>43.0</v>
      </c>
      <c r="N24" s="62">
        <v>48.0</v>
      </c>
      <c r="O24" s="62" t="s">
        <v>95</v>
      </c>
      <c r="P24" s="64">
        <v>10000.0</v>
      </c>
      <c r="Q24" s="62" t="s">
        <v>96</v>
      </c>
      <c r="R24" s="21">
        <f t="shared" si="7"/>
        <v>1</v>
      </c>
      <c r="S24" s="21">
        <f t="shared" si="8"/>
        <v>0</v>
      </c>
      <c r="T24" s="21">
        <f t="shared" si="9"/>
        <v>0.25</v>
      </c>
      <c r="U24" s="21">
        <f t="shared" si="10"/>
        <v>0.1111111111</v>
      </c>
      <c r="W24" s="62">
        <v>43.0</v>
      </c>
      <c r="X24" s="62">
        <v>48.0</v>
      </c>
      <c r="Y24" s="62" t="s">
        <v>95</v>
      </c>
      <c r="Z24" s="64">
        <v>10000.0</v>
      </c>
      <c r="AA24" s="62" t="s">
        <v>96</v>
      </c>
      <c r="AB24" s="21">
        <f t="shared" si="11"/>
        <v>0</v>
      </c>
      <c r="AC24" s="21">
        <f t="shared" si="12"/>
        <v>0</v>
      </c>
      <c r="AD24" s="21">
        <f t="shared" si="13"/>
        <v>0</v>
      </c>
      <c r="AE24" s="21">
        <f t="shared" si="14"/>
        <v>0</v>
      </c>
      <c r="AF24" s="21">
        <f t="shared" si="15"/>
        <v>1</v>
      </c>
    </row>
    <row r="25">
      <c r="A25" s="11" t="s">
        <v>22</v>
      </c>
      <c r="B25" s="61">
        <v>2.0</v>
      </c>
      <c r="C25" s="62" t="s">
        <v>97</v>
      </c>
      <c r="E25" s="62" t="s">
        <v>98</v>
      </c>
      <c r="F25" s="52">
        <f t="shared" si="1"/>
        <v>24</v>
      </c>
      <c r="G25" s="52" t="str">
        <f t="shared" si="2"/>
        <v/>
      </c>
      <c r="H25" s="52" t="str">
        <f t="shared" si="3"/>
        <v>24 ()</v>
      </c>
      <c r="I25" s="21">
        <f t="shared" si="4"/>
        <v>0.6666666667</v>
      </c>
      <c r="J25" s="21">
        <f t="shared" si="5"/>
        <v>0.5</v>
      </c>
      <c r="K25" s="21">
        <f t="shared" si="6"/>
        <v>0.5714285714</v>
      </c>
      <c r="M25" s="62">
        <v>43.0</v>
      </c>
      <c r="N25" s="62">
        <v>48.0</v>
      </c>
      <c r="O25" s="62" t="s">
        <v>97</v>
      </c>
      <c r="Q25" s="62" t="s">
        <v>98</v>
      </c>
      <c r="R25" s="21">
        <f t="shared" si="7"/>
        <v>1</v>
      </c>
      <c r="S25" s="21">
        <f t="shared" si="8"/>
        <v>0.5</v>
      </c>
      <c r="T25" s="21">
        <f t="shared" si="9"/>
        <v>0.25</v>
      </c>
      <c r="U25" s="21">
        <f t="shared" si="10"/>
        <v>0.4444444444</v>
      </c>
      <c r="W25" s="62">
        <v>43.0</v>
      </c>
      <c r="X25" s="62">
        <v>48.0</v>
      </c>
      <c r="Y25" s="62" t="s">
        <v>97</v>
      </c>
      <c r="AA25" s="62" t="s">
        <v>98</v>
      </c>
      <c r="AB25" s="21">
        <f t="shared" si="11"/>
        <v>0.125</v>
      </c>
      <c r="AC25" s="21">
        <f t="shared" si="12"/>
        <v>0.04166666667</v>
      </c>
      <c r="AD25" s="21">
        <f t="shared" si="13"/>
        <v>0.1666666667</v>
      </c>
      <c r="AE25" s="21">
        <f t="shared" si="14"/>
        <v>0.375</v>
      </c>
      <c r="AF25" s="21">
        <f t="shared" si="15"/>
        <v>0.2916666667</v>
      </c>
    </row>
    <row r="26">
      <c r="A26" s="11" t="s">
        <v>17</v>
      </c>
      <c r="B26" s="61">
        <v>5.0</v>
      </c>
      <c r="C26" s="62" t="s">
        <v>95</v>
      </c>
      <c r="D26" s="63">
        <v>1.0</v>
      </c>
      <c r="E26" s="62" t="s">
        <v>96</v>
      </c>
      <c r="F26" s="52">
        <f t="shared" si="1"/>
        <v>29</v>
      </c>
      <c r="G26" s="53">
        <f t="shared" si="2"/>
        <v>16</v>
      </c>
      <c r="H26" s="52" t="str">
        <f t="shared" si="3"/>
        <v>29 (16)</v>
      </c>
      <c r="I26" s="21">
        <f t="shared" si="4"/>
        <v>0.6551724138</v>
      </c>
      <c r="J26" s="21">
        <f t="shared" si="5"/>
        <v>0.5714285714</v>
      </c>
      <c r="K26" s="21">
        <f t="shared" si="6"/>
        <v>0.6104417671</v>
      </c>
      <c r="M26" s="62">
        <v>4.0</v>
      </c>
      <c r="N26" s="62">
        <v>9.0</v>
      </c>
      <c r="O26" s="62" t="s">
        <v>95</v>
      </c>
      <c r="P26" s="63">
        <v>1.0</v>
      </c>
      <c r="Q26" s="62" t="s">
        <v>96</v>
      </c>
      <c r="R26" s="21">
        <f t="shared" si="7"/>
        <v>1</v>
      </c>
      <c r="S26" s="21">
        <f t="shared" si="8"/>
        <v>0.6666666667</v>
      </c>
      <c r="T26" s="21">
        <f t="shared" si="9"/>
        <v>0.25</v>
      </c>
      <c r="U26" s="21">
        <f t="shared" si="10"/>
        <v>0.5</v>
      </c>
      <c r="W26" s="62">
        <v>4.0</v>
      </c>
      <c r="X26" s="62">
        <v>9.0</v>
      </c>
      <c r="Y26" s="62" t="s">
        <v>95</v>
      </c>
      <c r="Z26" s="63">
        <v>1.0</v>
      </c>
      <c r="AA26" s="62" t="s">
        <v>96</v>
      </c>
      <c r="AB26" s="21">
        <f t="shared" si="11"/>
        <v>0.03448275862</v>
      </c>
      <c r="AC26" s="21">
        <f t="shared" si="12"/>
        <v>0.2068965517</v>
      </c>
      <c r="AD26" s="21">
        <f t="shared" si="13"/>
        <v>0.1034482759</v>
      </c>
      <c r="AE26" s="21">
        <f t="shared" si="14"/>
        <v>0.3793103448</v>
      </c>
      <c r="AF26" s="21">
        <f t="shared" si="15"/>
        <v>0.275862069</v>
      </c>
    </row>
    <row r="27">
      <c r="A27" s="11" t="s">
        <v>17</v>
      </c>
      <c r="B27" s="61">
        <v>5.0</v>
      </c>
      <c r="C27" s="62" t="s">
        <v>97</v>
      </c>
      <c r="E27" s="62" t="s">
        <v>98</v>
      </c>
      <c r="F27" s="52">
        <f t="shared" si="1"/>
        <v>39</v>
      </c>
      <c r="G27" s="53">
        <f t="shared" si="2"/>
        <v>19</v>
      </c>
      <c r="H27" s="52" t="str">
        <f t="shared" si="3"/>
        <v>39 (19)</v>
      </c>
      <c r="I27" s="21">
        <f t="shared" si="4"/>
        <v>0.7692307692</v>
      </c>
      <c r="J27" s="21">
        <f t="shared" si="5"/>
        <v>0.5714285714</v>
      </c>
      <c r="K27" s="21">
        <f t="shared" si="6"/>
        <v>0.6557377049</v>
      </c>
      <c r="M27" s="62">
        <v>4.0</v>
      </c>
      <c r="N27" s="62">
        <v>9.0</v>
      </c>
      <c r="O27" s="62" t="s">
        <v>97</v>
      </c>
      <c r="Q27" s="62" t="s">
        <v>98</v>
      </c>
      <c r="R27" s="21">
        <f t="shared" si="7"/>
        <v>0.6667</v>
      </c>
      <c r="S27" s="21">
        <f t="shared" si="8"/>
        <v>0.6667</v>
      </c>
      <c r="T27" s="21">
        <f t="shared" si="9"/>
        <v>0.75</v>
      </c>
      <c r="U27" s="21">
        <f t="shared" si="10"/>
        <v>0.5</v>
      </c>
      <c r="W27" s="62">
        <v>4.0</v>
      </c>
      <c r="X27" s="62">
        <v>9.0</v>
      </c>
      <c r="Y27" s="62" t="s">
        <v>97</v>
      </c>
      <c r="AA27" s="62" t="s">
        <v>98</v>
      </c>
      <c r="AB27" s="21">
        <f t="shared" si="11"/>
        <v>0.02564102564</v>
      </c>
      <c r="AC27" s="21">
        <f t="shared" si="12"/>
        <v>0.07692307692</v>
      </c>
      <c r="AD27" s="21">
        <f t="shared" si="13"/>
        <v>0.1282051282</v>
      </c>
      <c r="AE27" s="21">
        <f t="shared" si="14"/>
        <v>0.5641025641</v>
      </c>
      <c r="AF27" s="21">
        <f t="shared" si="15"/>
        <v>0.2051282051</v>
      </c>
    </row>
    <row r="28">
      <c r="A28" s="11" t="s">
        <v>17</v>
      </c>
      <c r="B28" s="61">
        <v>4.0</v>
      </c>
      <c r="C28" s="62" t="s">
        <v>95</v>
      </c>
      <c r="D28" s="64">
        <v>50000.0</v>
      </c>
      <c r="E28" s="62" t="s">
        <v>96</v>
      </c>
      <c r="F28" s="52">
        <f t="shared" si="1"/>
        <v>24</v>
      </c>
      <c r="G28" s="53">
        <f t="shared" si="2"/>
        <v>10</v>
      </c>
      <c r="H28" s="52" t="str">
        <f t="shared" si="3"/>
        <v>24 (10)</v>
      </c>
      <c r="I28" s="21">
        <f t="shared" si="4"/>
        <v>0.6666666667</v>
      </c>
      <c r="J28" s="21">
        <f t="shared" si="5"/>
        <v>0.5</v>
      </c>
      <c r="K28" s="21">
        <f t="shared" si="6"/>
        <v>0.5714285714</v>
      </c>
      <c r="M28" s="62">
        <v>17.0</v>
      </c>
      <c r="N28" s="62">
        <v>22.0</v>
      </c>
      <c r="O28" s="62" t="s">
        <v>95</v>
      </c>
      <c r="P28" s="64">
        <v>50000.0</v>
      </c>
      <c r="Q28" s="62" t="s">
        <v>96</v>
      </c>
      <c r="R28" s="21">
        <f t="shared" si="7"/>
        <v>1</v>
      </c>
      <c r="S28" s="21">
        <f t="shared" si="8"/>
        <v>0.3333333333</v>
      </c>
      <c r="T28" s="21">
        <f t="shared" si="9"/>
        <v>0.25</v>
      </c>
      <c r="U28" s="21">
        <f t="shared" si="10"/>
        <v>0.5</v>
      </c>
      <c r="W28" s="62">
        <v>17.0</v>
      </c>
      <c r="X28" s="62">
        <v>22.0</v>
      </c>
      <c r="Y28" s="62" t="s">
        <v>95</v>
      </c>
      <c r="Z28" s="64">
        <v>50000.0</v>
      </c>
      <c r="AA28" s="62" t="s">
        <v>96</v>
      </c>
      <c r="AB28" s="21">
        <f t="shared" si="11"/>
        <v>0.125</v>
      </c>
      <c r="AC28" s="21">
        <f t="shared" si="12"/>
        <v>0.08333333333</v>
      </c>
      <c r="AD28" s="21">
        <f t="shared" si="13"/>
        <v>0.125</v>
      </c>
      <c r="AE28" s="21">
        <f t="shared" si="14"/>
        <v>0.375</v>
      </c>
      <c r="AF28" s="21">
        <f t="shared" si="15"/>
        <v>0.2916666667</v>
      </c>
    </row>
    <row r="29">
      <c r="A29" s="11" t="s">
        <v>17</v>
      </c>
      <c r="B29" s="61">
        <v>4.0</v>
      </c>
      <c r="C29" s="62" t="s">
        <v>97</v>
      </c>
      <c r="E29" s="62" t="s">
        <v>98</v>
      </c>
      <c r="F29" s="52">
        <f t="shared" si="1"/>
        <v>24</v>
      </c>
      <c r="G29" s="53">
        <f t="shared" si="2"/>
        <v>13</v>
      </c>
      <c r="H29" s="52" t="str">
        <f t="shared" si="3"/>
        <v>24 (13)</v>
      </c>
      <c r="I29" s="21">
        <f t="shared" si="4"/>
        <v>0.7916666667</v>
      </c>
      <c r="J29" s="21">
        <f t="shared" si="5"/>
        <v>0.6428571429</v>
      </c>
      <c r="K29" s="21">
        <f t="shared" si="6"/>
        <v>0.7095435685</v>
      </c>
      <c r="M29" s="62">
        <v>17.0</v>
      </c>
      <c r="N29" s="62">
        <v>22.0</v>
      </c>
      <c r="O29" s="62" t="s">
        <v>97</v>
      </c>
      <c r="Q29" s="62" t="s">
        <v>98</v>
      </c>
      <c r="R29" s="21">
        <f t="shared" si="7"/>
        <v>1</v>
      </c>
      <c r="S29" s="21">
        <f t="shared" si="8"/>
        <v>0.6666666667</v>
      </c>
      <c r="T29" s="21">
        <f t="shared" si="9"/>
        <v>0.75</v>
      </c>
      <c r="U29" s="21">
        <f t="shared" si="10"/>
        <v>0.25</v>
      </c>
      <c r="W29" s="62">
        <v>17.0</v>
      </c>
      <c r="X29" s="62">
        <v>22.0</v>
      </c>
      <c r="Y29" s="62" t="s">
        <v>97</v>
      </c>
      <c r="AA29" s="62" t="s">
        <v>98</v>
      </c>
      <c r="AB29" s="21">
        <f t="shared" si="11"/>
        <v>0.04166666667</v>
      </c>
      <c r="AC29" s="21">
        <f t="shared" si="12"/>
        <v>0.08333333333</v>
      </c>
      <c r="AD29" s="21">
        <f t="shared" si="13"/>
        <v>0.08333333333</v>
      </c>
      <c r="AE29" s="21">
        <f t="shared" si="14"/>
        <v>0.4166666667</v>
      </c>
      <c r="AF29" s="21">
        <f t="shared" si="15"/>
        <v>0.375</v>
      </c>
    </row>
    <row r="30">
      <c r="A30" s="11" t="s">
        <v>17</v>
      </c>
      <c r="B30" s="61">
        <v>3.0</v>
      </c>
      <c r="C30" s="62" t="s">
        <v>95</v>
      </c>
      <c r="D30" s="64">
        <v>25000.0</v>
      </c>
      <c r="E30" s="62" t="s">
        <v>96</v>
      </c>
      <c r="F30" s="52">
        <f t="shared" si="1"/>
        <v>14</v>
      </c>
      <c r="G30" s="53">
        <f t="shared" si="2"/>
        <v>3</v>
      </c>
      <c r="H30" s="52" t="str">
        <f t="shared" si="3"/>
        <v>14 (3)</v>
      </c>
      <c r="I30" s="21">
        <f t="shared" si="4"/>
        <v>0.7142857143</v>
      </c>
      <c r="J30" s="21">
        <f t="shared" si="5"/>
        <v>0.2857142857</v>
      </c>
      <c r="K30" s="21">
        <f t="shared" si="6"/>
        <v>0.4081632653</v>
      </c>
      <c r="M30" s="62">
        <v>30.0</v>
      </c>
      <c r="N30" s="62">
        <v>35.0</v>
      </c>
      <c r="O30" s="62" t="s">
        <v>95</v>
      </c>
      <c r="P30" s="64">
        <v>25000.0</v>
      </c>
      <c r="Q30" s="62" t="s">
        <v>96</v>
      </c>
      <c r="R30" s="21">
        <f t="shared" si="7"/>
        <v>1</v>
      </c>
      <c r="S30" s="21">
        <f t="shared" si="8"/>
        <v>0.3333333333</v>
      </c>
      <c r="T30" s="21">
        <f t="shared" si="9"/>
        <v>0</v>
      </c>
      <c r="U30" s="21">
        <f t="shared" si="10"/>
        <v>0</v>
      </c>
      <c r="W30" s="62">
        <v>30.0</v>
      </c>
      <c r="X30" s="62">
        <v>35.0</v>
      </c>
      <c r="Y30" s="62" t="s">
        <v>95</v>
      </c>
      <c r="Z30" s="64">
        <v>25000.0</v>
      </c>
      <c r="AA30" s="62" t="s">
        <v>96</v>
      </c>
      <c r="AB30" s="21">
        <f t="shared" si="11"/>
        <v>0.07142857143</v>
      </c>
      <c r="AC30" s="21">
        <f t="shared" si="12"/>
        <v>0.07142857143</v>
      </c>
      <c r="AD30" s="21">
        <f t="shared" si="13"/>
        <v>0.1428571429</v>
      </c>
      <c r="AE30" s="21">
        <f t="shared" si="14"/>
        <v>0.4285714286</v>
      </c>
      <c r="AF30" s="21">
        <f t="shared" si="15"/>
        <v>0.2857142857</v>
      </c>
    </row>
    <row r="31">
      <c r="A31" s="11" t="s">
        <v>17</v>
      </c>
      <c r="B31" s="61">
        <v>3.0</v>
      </c>
      <c r="C31" s="62" t="s">
        <v>97</v>
      </c>
      <c r="E31" s="62" t="s">
        <v>98</v>
      </c>
      <c r="F31" s="52">
        <f t="shared" si="1"/>
        <v>15</v>
      </c>
      <c r="G31" s="48">
        <f t="shared" si="2"/>
        <v>12</v>
      </c>
      <c r="H31" s="52" t="str">
        <f t="shared" si="3"/>
        <v>15 (12)</v>
      </c>
      <c r="I31" s="21">
        <f t="shared" si="4"/>
        <v>0.8666666667</v>
      </c>
      <c r="J31" s="21">
        <f t="shared" si="5"/>
        <v>0.5714285714</v>
      </c>
      <c r="K31" s="21">
        <f t="shared" si="6"/>
        <v>0.6887417219</v>
      </c>
      <c r="M31" s="62">
        <v>30.0</v>
      </c>
      <c r="N31" s="62">
        <v>35.0</v>
      </c>
      <c r="O31" s="62" t="s">
        <v>97</v>
      </c>
      <c r="Q31" s="62" t="s">
        <v>98</v>
      </c>
      <c r="R31" s="21">
        <f t="shared" si="7"/>
        <v>1</v>
      </c>
      <c r="S31" s="21">
        <f t="shared" si="8"/>
        <v>0.3333333333</v>
      </c>
      <c r="T31" s="21">
        <f t="shared" si="9"/>
        <v>0.5</v>
      </c>
      <c r="U31" s="21">
        <f t="shared" si="10"/>
        <v>0.5</v>
      </c>
      <c r="W31" s="62">
        <v>30.0</v>
      </c>
      <c r="X31" s="62">
        <v>35.0</v>
      </c>
      <c r="Y31" s="62" t="s">
        <v>97</v>
      </c>
      <c r="AA31" s="62" t="s">
        <v>98</v>
      </c>
      <c r="AB31" s="21">
        <f t="shared" si="11"/>
        <v>0</v>
      </c>
      <c r="AC31" s="21">
        <f t="shared" si="12"/>
        <v>0.06666666667</v>
      </c>
      <c r="AD31" s="21">
        <f t="shared" si="13"/>
        <v>0.06666666667</v>
      </c>
      <c r="AE31" s="21">
        <f t="shared" si="14"/>
        <v>0.4</v>
      </c>
      <c r="AF31" s="21">
        <f t="shared" si="15"/>
        <v>0.4666666667</v>
      </c>
    </row>
    <row r="32">
      <c r="A32" s="11" t="s">
        <v>17</v>
      </c>
      <c r="B32" s="61">
        <v>2.0</v>
      </c>
      <c r="C32" s="62" t="s">
        <v>95</v>
      </c>
      <c r="D32" s="64">
        <v>10000.0</v>
      </c>
      <c r="E32" s="62" t="s">
        <v>96</v>
      </c>
      <c r="F32" s="52">
        <f t="shared" si="1"/>
        <v>3</v>
      </c>
      <c r="G32" s="52" t="str">
        <f t="shared" si="2"/>
        <v/>
      </c>
      <c r="H32" s="52" t="str">
        <f t="shared" si="3"/>
        <v>3 ()</v>
      </c>
      <c r="I32" s="21">
        <f t="shared" si="4"/>
        <v>1</v>
      </c>
      <c r="J32" s="21">
        <f t="shared" si="5"/>
        <v>0.07142857143</v>
      </c>
      <c r="K32" s="21">
        <f t="shared" si="6"/>
        <v>0.1333333333</v>
      </c>
      <c r="M32" s="62">
        <v>43.0</v>
      </c>
      <c r="N32" s="62">
        <v>48.0</v>
      </c>
      <c r="O32" s="62" t="s">
        <v>95</v>
      </c>
      <c r="P32" s="64">
        <v>10000.0</v>
      </c>
      <c r="Q32" s="62" t="s">
        <v>96</v>
      </c>
      <c r="R32" s="21">
        <f t="shared" si="7"/>
        <v>0.3333333333</v>
      </c>
      <c r="S32" s="21">
        <f t="shared" si="8"/>
        <v>0</v>
      </c>
      <c r="T32" s="21">
        <f t="shared" si="9"/>
        <v>0</v>
      </c>
      <c r="U32" s="21">
        <f t="shared" si="10"/>
        <v>0</v>
      </c>
      <c r="W32" s="62">
        <v>43.0</v>
      </c>
      <c r="X32" s="62">
        <v>48.0</v>
      </c>
      <c r="Y32" s="62" t="s">
        <v>95</v>
      </c>
      <c r="Z32" s="64">
        <v>10000.0</v>
      </c>
      <c r="AA32" s="62" t="s">
        <v>96</v>
      </c>
      <c r="AB32" s="21">
        <f t="shared" si="11"/>
        <v>0</v>
      </c>
      <c r="AC32" s="21">
        <f t="shared" si="12"/>
        <v>0</v>
      </c>
      <c r="AD32" s="21">
        <f t="shared" si="13"/>
        <v>0</v>
      </c>
      <c r="AE32" s="21">
        <f t="shared" si="14"/>
        <v>0.6666666667</v>
      </c>
      <c r="AF32" s="21">
        <f t="shared" si="15"/>
        <v>0.3333333333</v>
      </c>
    </row>
    <row r="33">
      <c r="A33" s="11" t="s">
        <v>17</v>
      </c>
      <c r="B33" s="61">
        <v>2.0</v>
      </c>
      <c r="C33" s="62" t="s">
        <v>97</v>
      </c>
      <c r="E33" s="62" t="s">
        <v>98</v>
      </c>
      <c r="F33" s="52">
        <f t="shared" si="1"/>
        <v>18</v>
      </c>
      <c r="G33" s="52" t="str">
        <f t="shared" si="2"/>
        <v/>
      </c>
      <c r="H33" s="52" t="str">
        <f t="shared" si="3"/>
        <v>18 ()</v>
      </c>
      <c r="I33" s="21">
        <f t="shared" si="4"/>
        <v>0.6666666667</v>
      </c>
      <c r="J33" s="21">
        <f t="shared" si="5"/>
        <v>0.4285714286</v>
      </c>
      <c r="K33" s="21">
        <f t="shared" si="6"/>
        <v>0.5217391304</v>
      </c>
      <c r="M33" s="62">
        <v>43.0</v>
      </c>
      <c r="N33" s="62">
        <v>48.0</v>
      </c>
      <c r="O33" s="62" t="s">
        <v>97</v>
      </c>
      <c r="Q33" s="62" t="s">
        <v>98</v>
      </c>
      <c r="R33" s="21">
        <f t="shared" si="7"/>
        <v>0.6666666667</v>
      </c>
      <c r="S33" s="21">
        <f t="shared" si="8"/>
        <v>0.3333333333</v>
      </c>
      <c r="T33" s="21">
        <f t="shared" si="9"/>
        <v>0.5</v>
      </c>
      <c r="U33" s="21">
        <f t="shared" si="10"/>
        <v>0.25</v>
      </c>
      <c r="W33" s="62">
        <v>43.0</v>
      </c>
      <c r="X33" s="62">
        <v>48.0</v>
      </c>
      <c r="Y33" s="62" t="s">
        <v>97</v>
      </c>
      <c r="AA33" s="62" t="s">
        <v>98</v>
      </c>
      <c r="AB33" s="21">
        <f t="shared" si="11"/>
        <v>0.1666666667</v>
      </c>
      <c r="AC33" s="21">
        <f t="shared" si="12"/>
        <v>0.05555555556</v>
      </c>
      <c r="AD33" s="21">
        <f t="shared" si="13"/>
        <v>0.1111111111</v>
      </c>
      <c r="AE33" s="21">
        <f t="shared" si="14"/>
        <v>0.3333333333</v>
      </c>
      <c r="AF33" s="21">
        <f t="shared" si="15"/>
        <v>0.3333333333</v>
      </c>
    </row>
    <row r="34">
      <c r="A34" s="11" t="s">
        <v>37</v>
      </c>
      <c r="B34" s="61">
        <v>5.0</v>
      </c>
      <c r="C34" s="62" t="s">
        <v>95</v>
      </c>
      <c r="D34" s="63">
        <v>1.0</v>
      </c>
      <c r="E34" s="62" t="s">
        <v>96</v>
      </c>
      <c r="F34" s="52">
        <f t="shared" si="1"/>
        <v>32</v>
      </c>
      <c r="G34" s="53">
        <f t="shared" si="2"/>
        <v>11</v>
      </c>
      <c r="H34" s="52" t="str">
        <f t="shared" si="3"/>
        <v>32 (11)</v>
      </c>
      <c r="I34" s="21">
        <f t="shared" si="4"/>
        <v>0.4375</v>
      </c>
      <c r="J34" s="21">
        <f t="shared" si="5"/>
        <v>0.5625</v>
      </c>
      <c r="K34" s="21">
        <f t="shared" si="6"/>
        <v>0.4921875</v>
      </c>
      <c r="M34" s="62">
        <v>4.0</v>
      </c>
      <c r="N34" s="62">
        <v>9.0</v>
      </c>
      <c r="O34" s="62" t="s">
        <v>95</v>
      </c>
      <c r="P34" s="63">
        <v>1.0</v>
      </c>
      <c r="Q34" s="62" t="s">
        <v>96</v>
      </c>
      <c r="R34" s="21">
        <f t="shared" si="7"/>
        <v>1</v>
      </c>
      <c r="S34" s="21">
        <f t="shared" si="8"/>
        <v>0</v>
      </c>
      <c r="T34" s="21">
        <f t="shared" si="9"/>
        <v>0.25</v>
      </c>
      <c r="U34" s="21">
        <f t="shared" si="10"/>
        <v>0.6</v>
      </c>
      <c r="W34" s="62">
        <v>4.0</v>
      </c>
      <c r="X34" s="62">
        <v>9.0</v>
      </c>
      <c r="Y34" s="62" t="s">
        <v>95</v>
      </c>
      <c r="Z34" s="63">
        <v>1.0</v>
      </c>
      <c r="AA34" s="62" t="s">
        <v>96</v>
      </c>
      <c r="AB34" s="21">
        <f t="shared" si="11"/>
        <v>0.125</v>
      </c>
      <c r="AC34" s="21">
        <f t="shared" si="12"/>
        <v>0.15625</v>
      </c>
      <c r="AD34" s="21">
        <f t="shared" si="13"/>
        <v>0.28125</v>
      </c>
      <c r="AE34" s="21">
        <f t="shared" si="14"/>
        <v>0.1875</v>
      </c>
      <c r="AF34" s="21">
        <f t="shared" si="15"/>
        <v>0.25</v>
      </c>
    </row>
    <row r="35">
      <c r="A35" s="11" t="s">
        <v>37</v>
      </c>
      <c r="B35" s="61">
        <v>5.0</v>
      </c>
      <c r="C35" s="62" t="s">
        <v>97</v>
      </c>
      <c r="E35" s="62" t="s">
        <v>98</v>
      </c>
      <c r="F35" s="52">
        <f t="shared" si="1"/>
        <v>24</v>
      </c>
      <c r="G35" s="53">
        <f t="shared" si="2"/>
        <v>14</v>
      </c>
      <c r="H35" s="52" t="str">
        <f t="shared" si="3"/>
        <v>24 (14)</v>
      </c>
      <c r="I35" s="21">
        <f t="shared" si="4"/>
        <v>0.7083333333</v>
      </c>
      <c r="J35" s="21">
        <f t="shared" si="5"/>
        <v>0.625</v>
      </c>
      <c r="K35" s="21">
        <f t="shared" si="6"/>
        <v>0.6640625</v>
      </c>
      <c r="M35" s="62">
        <v>4.0</v>
      </c>
      <c r="N35" s="62">
        <v>9.0</v>
      </c>
      <c r="O35" s="62" t="s">
        <v>97</v>
      </c>
      <c r="Q35" s="62" t="s">
        <v>98</v>
      </c>
      <c r="R35" s="21">
        <f t="shared" si="7"/>
        <v>1</v>
      </c>
      <c r="S35" s="21">
        <f t="shared" si="8"/>
        <v>0</v>
      </c>
      <c r="T35" s="21">
        <f t="shared" si="9"/>
        <v>0.5</v>
      </c>
      <c r="U35" s="21">
        <f t="shared" si="10"/>
        <v>0.6</v>
      </c>
      <c r="W35" s="62">
        <v>4.0</v>
      </c>
      <c r="X35" s="62">
        <v>9.0</v>
      </c>
      <c r="Y35" s="62" t="s">
        <v>97</v>
      </c>
      <c r="AA35" s="62" t="s">
        <v>98</v>
      </c>
      <c r="AB35" s="21">
        <f t="shared" si="11"/>
        <v>0.08333333333</v>
      </c>
      <c r="AC35" s="21">
        <f t="shared" si="12"/>
        <v>0.04166666667</v>
      </c>
      <c r="AD35" s="21">
        <f t="shared" si="13"/>
        <v>0.1666666667</v>
      </c>
      <c r="AE35" s="21">
        <f t="shared" si="14"/>
        <v>0.4166666667</v>
      </c>
      <c r="AF35" s="21">
        <f t="shared" si="15"/>
        <v>0.2916666667</v>
      </c>
    </row>
    <row r="36">
      <c r="A36" s="11" t="s">
        <v>37</v>
      </c>
      <c r="B36" s="61">
        <v>4.0</v>
      </c>
      <c r="C36" s="62" t="s">
        <v>95</v>
      </c>
      <c r="D36" s="64">
        <v>50000.0</v>
      </c>
      <c r="E36" s="62" t="s">
        <v>96</v>
      </c>
      <c r="F36" s="52">
        <f t="shared" si="1"/>
        <v>21</v>
      </c>
      <c r="G36" s="53">
        <f t="shared" si="2"/>
        <v>6</v>
      </c>
      <c r="H36" s="52" t="str">
        <f t="shared" si="3"/>
        <v>21 (6)</v>
      </c>
      <c r="I36" s="21">
        <f t="shared" si="4"/>
        <v>0.5238095238</v>
      </c>
      <c r="J36" s="21">
        <f t="shared" si="5"/>
        <v>0.4375</v>
      </c>
      <c r="K36" s="21">
        <f t="shared" si="6"/>
        <v>0.4767801858</v>
      </c>
      <c r="M36" s="62">
        <v>17.0</v>
      </c>
      <c r="N36" s="62">
        <v>22.0</v>
      </c>
      <c r="O36" s="62" t="s">
        <v>95</v>
      </c>
      <c r="P36" s="64">
        <v>50000.0</v>
      </c>
      <c r="Q36" s="62" t="s">
        <v>96</v>
      </c>
      <c r="R36" s="21">
        <f t="shared" si="7"/>
        <v>0.5</v>
      </c>
      <c r="S36" s="21">
        <f t="shared" si="8"/>
        <v>0</v>
      </c>
      <c r="T36" s="21">
        <f t="shared" si="9"/>
        <v>0.25</v>
      </c>
      <c r="U36" s="21">
        <f t="shared" si="10"/>
        <v>0.5</v>
      </c>
      <c r="W36" s="62">
        <v>17.0</v>
      </c>
      <c r="X36" s="62">
        <v>22.0</v>
      </c>
      <c r="Y36" s="62" t="s">
        <v>95</v>
      </c>
      <c r="Z36" s="64">
        <v>50000.0</v>
      </c>
      <c r="AA36" s="62" t="s">
        <v>96</v>
      </c>
      <c r="AB36" s="21">
        <f t="shared" si="11"/>
        <v>0.1428571429</v>
      </c>
      <c r="AC36" s="21">
        <f t="shared" si="12"/>
        <v>0.1904761905</v>
      </c>
      <c r="AD36" s="21">
        <f t="shared" si="13"/>
        <v>0.1428571429</v>
      </c>
      <c r="AE36" s="21">
        <f t="shared" si="14"/>
        <v>0.2380952381</v>
      </c>
      <c r="AF36" s="21">
        <f t="shared" si="15"/>
        <v>0.2857142857</v>
      </c>
    </row>
    <row r="37">
      <c r="A37" s="11" t="s">
        <v>37</v>
      </c>
      <c r="B37" s="61">
        <v>4.0</v>
      </c>
      <c r="C37" s="62" t="s">
        <v>97</v>
      </c>
      <c r="E37" s="62" t="s">
        <v>98</v>
      </c>
      <c r="F37" s="52">
        <f t="shared" si="1"/>
        <v>24</v>
      </c>
      <c r="G37" s="53">
        <f t="shared" si="2"/>
        <v>14</v>
      </c>
      <c r="H37" s="52" t="str">
        <f t="shared" si="3"/>
        <v>24 (14)</v>
      </c>
      <c r="I37" s="21">
        <f t="shared" si="4"/>
        <v>0.5833333333</v>
      </c>
      <c r="J37" s="21">
        <f t="shared" si="5"/>
        <v>0.4375</v>
      </c>
      <c r="K37" s="21">
        <f t="shared" si="6"/>
        <v>0.5</v>
      </c>
      <c r="M37" s="62">
        <v>17.0</v>
      </c>
      <c r="N37" s="62">
        <v>22.0</v>
      </c>
      <c r="O37" s="62" t="s">
        <v>97</v>
      </c>
      <c r="Q37" s="62" t="s">
        <v>98</v>
      </c>
      <c r="R37" s="21">
        <f t="shared" si="7"/>
        <v>1</v>
      </c>
      <c r="S37" s="21">
        <f t="shared" si="8"/>
        <v>0</v>
      </c>
      <c r="T37" s="21">
        <f t="shared" si="9"/>
        <v>0.5</v>
      </c>
      <c r="U37" s="21">
        <f t="shared" si="10"/>
        <v>0.3</v>
      </c>
      <c r="W37" s="62">
        <v>17.0</v>
      </c>
      <c r="X37" s="62">
        <v>22.0</v>
      </c>
      <c r="Y37" s="62" t="s">
        <v>97</v>
      </c>
      <c r="AA37" s="62" t="s">
        <v>98</v>
      </c>
      <c r="AB37" s="21">
        <f t="shared" si="11"/>
        <v>0.08333333333</v>
      </c>
      <c r="AC37" s="21">
        <f t="shared" si="12"/>
        <v>0.08333333333</v>
      </c>
      <c r="AD37" s="21">
        <f t="shared" si="13"/>
        <v>0.25</v>
      </c>
      <c r="AE37" s="21">
        <f t="shared" si="14"/>
        <v>0.3333333333</v>
      </c>
      <c r="AF37" s="21">
        <f t="shared" si="15"/>
        <v>0.25</v>
      </c>
    </row>
    <row r="38">
      <c r="A38" s="11" t="s">
        <v>37</v>
      </c>
      <c r="B38" s="61">
        <v>3.0</v>
      </c>
      <c r="C38" s="62" t="s">
        <v>95</v>
      </c>
      <c r="D38" s="64">
        <v>25000.0</v>
      </c>
      <c r="E38" s="62" t="s">
        <v>96</v>
      </c>
      <c r="F38" s="52">
        <f t="shared" si="1"/>
        <v>12</v>
      </c>
      <c r="G38" s="53">
        <f t="shared" si="2"/>
        <v>2</v>
      </c>
      <c r="H38" s="52" t="str">
        <f t="shared" si="3"/>
        <v>12 (2)</v>
      </c>
      <c r="I38" s="21">
        <f t="shared" si="4"/>
        <v>0.5</v>
      </c>
      <c r="J38" s="21">
        <f t="shared" si="5"/>
        <v>0.3125</v>
      </c>
      <c r="K38" s="21">
        <f t="shared" si="6"/>
        <v>0.3846153846</v>
      </c>
      <c r="M38" s="62">
        <v>30.0</v>
      </c>
      <c r="N38" s="62">
        <v>35.0</v>
      </c>
      <c r="O38" s="62" t="s">
        <v>95</v>
      </c>
      <c r="P38" s="64">
        <v>25000.0</v>
      </c>
      <c r="Q38" s="62" t="s">
        <v>96</v>
      </c>
      <c r="R38" s="21">
        <f t="shared" si="7"/>
        <v>1</v>
      </c>
      <c r="S38" s="21">
        <f t="shared" si="8"/>
        <v>0</v>
      </c>
      <c r="T38" s="21">
        <f t="shared" si="9"/>
        <v>0.25</v>
      </c>
      <c r="U38" s="21">
        <f t="shared" si="10"/>
        <v>0.2</v>
      </c>
      <c r="W38" s="62">
        <v>30.0</v>
      </c>
      <c r="X38" s="62">
        <v>35.0</v>
      </c>
      <c r="Y38" s="62" t="s">
        <v>95</v>
      </c>
      <c r="Z38" s="64">
        <v>25000.0</v>
      </c>
      <c r="AA38" s="62" t="s">
        <v>96</v>
      </c>
      <c r="AB38" s="21">
        <f t="shared" si="11"/>
        <v>0.4166666667</v>
      </c>
      <c r="AC38" s="21">
        <f t="shared" si="12"/>
        <v>0</v>
      </c>
      <c r="AD38" s="21">
        <f t="shared" si="13"/>
        <v>0.08333333333</v>
      </c>
      <c r="AE38" s="21">
        <f t="shared" si="14"/>
        <v>0.1666666667</v>
      </c>
      <c r="AF38" s="21">
        <f t="shared" si="15"/>
        <v>0.3333333333</v>
      </c>
    </row>
    <row r="39">
      <c r="A39" s="11" t="s">
        <v>37</v>
      </c>
      <c r="B39" s="61">
        <v>3.0</v>
      </c>
      <c r="C39" s="62" t="s">
        <v>97</v>
      </c>
      <c r="E39" s="62" t="s">
        <v>98</v>
      </c>
      <c r="F39" s="52">
        <f t="shared" si="1"/>
        <v>27</v>
      </c>
      <c r="G39" s="48">
        <f t="shared" si="2"/>
        <v>12</v>
      </c>
      <c r="H39" s="52" t="str">
        <f t="shared" si="3"/>
        <v>27 (12)</v>
      </c>
      <c r="I39" s="21">
        <f t="shared" si="4"/>
        <v>0.5185185185</v>
      </c>
      <c r="J39" s="21">
        <f t="shared" si="5"/>
        <v>0.375</v>
      </c>
      <c r="K39" s="21">
        <f t="shared" si="6"/>
        <v>0.4352331606</v>
      </c>
      <c r="M39" s="62">
        <v>30.0</v>
      </c>
      <c r="N39" s="62">
        <v>35.0</v>
      </c>
      <c r="O39" s="62" t="s">
        <v>97</v>
      </c>
      <c r="Q39" s="62" t="s">
        <v>98</v>
      </c>
      <c r="R39" s="21">
        <f t="shared" si="7"/>
        <v>1</v>
      </c>
      <c r="S39" s="21">
        <f t="shared" si="8"/>
        <v>0</v>
      </c>
      <c r="T39" s="21">
        <f t="shared" si="9"/>
        <v>0.25</v>
      </c>
      <c r="U39" s="21">
        <f t="shared" si="10"/>
        <v>0.3</v>
      </c>
      <c r="W39" s="62">
        <v>30.0</v>
      </c>
      <c r="X39" s="62">
        <v>35.0</v>
      </c>
      <c r="Y39" s="62" t="s">
        <v>97</v>
      </c>
      <c r="AA39" s="62" t="s">
        <v>98</v>
      </c>
      <c r="AB39" s="21">
        <f t="shared" si="11"/>
        <v>0.07407407407</v>
      </c>
      <c r="AC39" s="21">
        <f t="shared" si="12"/>
        <v>0.1851851852</v>
      </c>
      <c r="AD39" s="21">
        <f t="shared" si="13"/>
        <v>0.2222222222</v>
      </c>
      <c r="AE39" s="21">
        <f t="shared" si="14"/>
        <v>0.3333333333</v>
      </c>
      <c r="AF39" s="21">
        <f t="shared" si="15"/>
        <v>0.1851851852</v>
      </c>
    </row>
    <row r="40">
      <c r="A40" s="11" t="s">
        <v>37</v>
      </c>
      <c r="B40" s="61">
        <v>2.0</v>
      </c>
      <c r="C40" s="62" t="s">
        <v>95</v>
      </c>
      <c r="D40" s="64">
        <v>10000.0</v>
      </c>
      <c r="E40" s="62" t="s">
        <v>96</v>
      </c>
      <c r="F40" s="52">
        <f t="shared" si="1"/>
        <v>2</v>
      </c>
      <c r="G40" s="52" t="str">
        <f t="shared" si="2"/>
        <v/>
      </c>
      <c r="H40" s="52" t="str">
        <f t="shared" si="3"/>
        <v>2 ()</v>
      </c>
      <c r="I40" s="21">
        <f t="shared" si="4"/>
        <v>1</v>
      </c>
      <c r="J40" s="21">
        <f t="shared" si="5"/>
        <v>0.0625</v>
      </c>
      <c r="K40" s="21">
        <f t="shared" si="6"/>
        <v>0.1176470588</v>
      </c>
      <c r="M40" s="62">
        <v>43.0</v>
      </c>
      <c r="N40" s="62">
        <v>48.0</v>
      </c>
      <c r="O40" s="62" t="s">
        <v>95</v>
      </c>
      <c r="P40" s="64">
        <v>10000.0</v>
      </c>
      <c r="Q40" s="62" t="s">
        <v>96</v>
      </c>
      <c r="R40" s="21">
        <f t="shared" si="7"/>
        <v>0.5</v>
      </c>
      <c r="S40" s="21">
        <f t="shared" si="8"/>
        <v>0</v>
      </c>
      <c r="T40" s="21">
        <f t="shared" si="9"/>
        <v>0</v>
      </c>
      <c r="U40" s="21">
        <f t="shared" si="10"/>
        <v>0</v>
      </c>
      <c r="W40" s="62">
        <v>43.0</v>
      </c>
      <c r="X40" s="62">
        <v>48.0</v>
      </c>
      <c r="Y40" s="62" t="s">
        <v>95</v>
      </c>
      <c r="Z40" s="64">
        <v>10000.0</v>
      </c>
      <c r="AA40" s="62" t="s">
        <v>96</v>
      </c>
      <c r="AB40" s="21">
        <f t="shared" si="11"/>
        <v>0</v>
      </c>
      <c r="AC40" s="21">
        <f t="shared" si="12"/>
        <v>0</v>
      </c>
      <c r="AD40" s="21">
        <f t="shared" si="13"/>
        <v>0</v>
      </c>
      <c r="AE40" s="21">
        <f t="shared" si="14"/>
        <v>0.5</v>
      </c>
      <c r="AF40" s="21">
        <f t="shared" si="15"/>
        <v>0.5</v>
      </c>
    </row>
    <row r="41">
      <c r="A41" s="11" t="s">
        <v>37</v>
      </c>
      <c r="B41" s="61">
        <v>2.0</v>
      </c>
      <c r="C41" s="62" t="s">
        <v>97</v>
      </c>
      <c r="E41" s="62" t="s">
        <v>98</v>
      </c>
      <c r="F41" s="52">
        <f t="shared" si="1"/>
        <v>20</v>
      </c>
      <c r="G41" s="52" t="str">
        <f t="shared" si="2"/>
        <v/>
      </c>
      <c r="H41" s="52" t="str">
        <f t="shared" si="3"/>
        <v>20 ()</v>
      </c>
      <c r="I41" s="21">
        <f t="shared" si="4"/>
        <v>0.6</v>
      </c>
      <c r="J41" s="21">
        <f t="shared" si="5"/>
        <v>0.375</v>
      </c>
      <c r="K41" s="21">
        <f t="shared" si="6"/>
        <v>0.4615384615</v>
      </c>
      <c r="M41" s="62">
        <v>43.0</v>
      </c>
      <c r="N41" s="62">
        <v>48.0</v>
      </c>
      <c r="O41" s="62" t="s">
        <v>97</v>
      </c>
      <c r="Q41" s="62" t="s">
        <v>98</v>
      </c>
      <c r="R41" s="21">
        <f t="shared" si="7"/>
        <v>1</v>
      </c>
      <c r="S41" s="21">
        <f t="shared" si="8"/>
        <v>0</v>
      </c>
      <c r="T41" s="21">
        <f t="shared" si="9"/>
        <v>0.25</v>
      </c>
      <c r="U41" s="21">
        <f t="shared" si="10"/>
        <v>0.3</v>
      </c>
      <c r="W41" s="62">
        <v>43.0</v>
      </c>
      <c r="X41" s="62">
        <v>48.0</v>
      </c>
      <c r="Y41" s="62" t="s">
        <v>97</v>
      </c>
      <c r="AA41" s="62" t="s">
        <v>98</v>
      </c>
      <c r="AB41" s="21">
        <f t="shared" si="11"/>
        <v>0.15</v>
      </c>
      <c r="AC41" s="21">
        <f t="shared" si="12"/>
        <v>0.1</v>
      </c>
      <c r="AD41" s="21">
        <f t="shared" si="13"/>
        <v>0.15</v>
      </c>
      <c r="AE41" s="21">
        <f t="shared" si="14"/>
        <v>0.3</v>
      </c>
      <c r="AF41" s="21">
        <f t="shared" si="15"/>
        <v>0.3</v>
      </c>
    </row>
    <row r="42">
      <c r="A42" s="11" t="s">
        <v>42</v>
      </c>
      <c r="B42" s="61">
        <v>5.0</v>
      </c>
      <c r="C42" s="62" t="s">
        <v>95</v>
      </c>
      <c r="D42" s="63">
        <v>1.0</v>
      </c>
      <c r="E42" s="62" t="s">
        <v>96</v>
      </c>
      <c r="F42" s="52">
        <f t="shared" si="1"/>
        <v>43</v>
      </c>
      <c r="G42" s="53">
        <f t="shared" si="2"/>
        <v>15</v>
      </c>
      <c r="H42" s="52" t="str">
        <f t="shared" si="3"/>
        <v>43 (15)</v>
      </c>
      <c r="I42" s="21">
        <f t="shared" si="4"/>
        <v>0.4186046512</v>
      </c>
      <c r="J42" s="21">
        <f t="shared" si="5"/>
        <v>0.6</v>
      </c>
      <c r="K42" s="21">
        <f t="shared" si="6"/>
        <v>0.4931506849</v>
      </c>
      <c r="M42" s="62">
        <v>4.0</v>
      </c>
      <c r="N42" s="62">
        <v>9.0</v>
      </c>
      <c r="O42" s="62" t="s">
        <v>95</v>
      </c>
      <c r="P42" s="63">
        <v>1.0</v>
      </c>
      <c r="Q42" s="62" t="s">
        <v>96</v>
      </c>
      <c r="R42" s="21">
        <f t="shared" si="7"/>
        <v>1</v>
      </c>
      <c r="S42" s="21">
        <f t="shared" si="8"/>
        <v>0.5</v>
      </c>
      <c r="T42" s="21">
        <f t="shared" si="9"/>
        <v>0.25</v>
      </c>
      <c r="U42" s="21">
        <f t="shared" si="10"/>
        <v>0.7142857143</v>
      </c>
      <c r="W42" s="62">
        <v>4.0</v>
      </c>
      <c r="X42" s="62">
        <v>9.0</v>
      </c>
      <c r="Y42" s="62" t="s">
        <v>95</v>
      </c>
      <c r="Z42" s="63">
        <v>1.0</v>
      </c>
      <c r="AA42" s="62" t="s">
        <v>96</v>
      </c>
      <c r="AB42" s="21">
        <f t="shared" si="11"/>
        <v>0.04651162791</v>
      </c>
      <c r="AC42" s="21">
        <f t="shared" si="12"/>
        <v>0.2790697674</v>
      </c>
      <c r="AD42" s="21">
        <f t="shared" si="13"/>
        <v>0.2558139535</v>
      </c>
      <c r="AE42" s="21">
        <f t="shared" si="14"/>
        <v>0.2325581395</v>
      </c>
      <c r="AF42" s="21">
        <f t="shared" si="15"/>
        <v>0.1860465116</v>
      </c>
    </row>
    <row r="43">
      <c r="A43" s="11" t="s">
        <v>42</v>
      </c>
      <c r="B43" s="61">
        <v>5.0</v>
      </c>
      <c r="C43" s="62" t="s">
        <v>97</v>
      </c>
      <c r="E43" s="62" t="s">
        <v>98</v>
      </c>
      <c r="F43" s="52">
        <f t="shared" si="1"/>
        <v>37</v>
      </c>
      <c r="G43" s="53">
        <f t="shared" si="2"/>
        <v>17</v>
      </c>
      <c r="H43" s="52" t="str">
        <f t="shared" si="3"/>
        <v>37 (17)</v>
      </c>
      <c r="I43" s="21">
        <f t="shared" si="4"/>
        <v>0.6756756757</v>
      </c>
      <c r="J43" s="21">
        <f t="shared" si="5"/>
        <v>0.6</v>
      </c>
      <c r="K43" s="21">
        <f t="shared" si="6"/>
        <v>0.6355932203</v>
      </c>
      <c r="M43" s="62">
        <v>4.0</v>
      </c>
      <c r="N43" s="62">
        <v>9.0</v>
      </c>
      <c r="O43" s="62" t="s">
        <v>97</v>
      </c>
      <c r="Q43" s="62" t="s">
        <v>98</v>
      </c>
      <c r="R43" s="21">
        <f t="shared" si="7"/>
        <v>1</v>
      </c>
      <c r="S43" s="21">
        <f t="shared" si="8"/>
        <v>0.5</v>
      </c>
      <c r="T43" s="21">
        <f t="shared" si="9"/>
        <v>0.5</v>
      </c>
      <c r="U43" s="21">
        <f t="shared" si="10"/>
        <v>0.5714285714</v>
      </c>
      <c r="W43" s="62">
        <v>4.0</v>
      </c>
      <c r="X43" s="62">
        <v>9.0</v>
      </c>
      <c r="Y43" s="62" t="s">
        <v>97</v>
      </c>
      <c r="AA43" s="62" t="s">
        <v>98</v>
      </c>
      <c r="AB43" s="21">
        <f t="shared" si="11"/>
        <v>0.05405405405</v>
      </c>
      <c r="AC43" s="21">
        <f t="shared" si="12"/>
        <v>0.1081081081</v>
      </c>
      <c r="AD43" s="21">
        <f t="shared" si="13"/>
        <v>0.1621621622</v>
      </c>
      <c r="AE43" s="21">
        <f t="shared" si="14"/>
        <v>0.4324324324</v>
      </c>
      <c r="AF43" s="21">
        <f t="shared" si="15"/>
        <v>0.2432432432</v>
      </c>
    </row>
    <row r="44">
      <c r="A44" s="11" t="s">
        <v>42</v>
      </c>
      <c r="B44" s="61">
        <v>4.0</v>
      </c>
      <c r="C44" s="62" t="s">
        <v>95</v>
      </c>
      <c r="D44" s="64">
        <v>50000.0</v>
      </c>
      <c r="E44" s="62" t="s">
        <v>96</v>
      </c>
      <c r="F44" s="52">
        <f t="shared" si="1"/>
        <v>23</v>
      </c>
      <c r="G44" s="53">
        <f t="shared" si="2"/>
        <v>7</v>
      </c>
      <c r="H44" s="52" t="str">
        <f t="shared" si="3"/>
        <v>23 (7)</v>
      </c>
      <c r="I44" s="21">
        <f t="shared" si="4"/>
        <v>0.652173913</v>
      </c>
      <c r="J44" s="21">
        <f t="shared" si="5"/>
        <v>0.4</v>
      </c>
      <c r="K44" s="21">
        <f t="shared" si="6"/>
        <v>0.4958677686</v>
      </c>
      <c r="M44" s="62">
        <v>17.0</v>
      </c>
      <c r="N44" s="62">
        <v>22.0</v>
      </c>
      <c r="O44" s="62" t="s">
        <v>95</v>
      </c>
      <c r="P44" s="64">
        <v>50000.0</v>
      </c>
      <c r="Q44" s="62" t="s">
        <v>96</v>
      </c>
      <c r="R44" s="21">
        <f t="shared" si="7"/>
        <v>1</v>
      </c>
      <c r="S44" s="21">
        <f t="shared" si="8"/>
        <v>0</v>
      </c>
      <c r="T44" s="21">
        <f t="shared" si="9"/>
        <v>0.25</v>
      </c>
      <c r="U44" s="21">
        <f t="shared" si="10"/>
        <v>0.4285714286</v>
      </c>
      <c r="W44" s="62">
        <v>17.0</v>
      </c>
      <c r="X44" s="62">
        <v>22.0</v>
      </c>
      <c r="Y44" s="62" t="s">
        <v>95</v>
      </c>
      <c r="Z44" s="64">
        <v>50000.0</v>
      </c>
      <c r="AA44" s="62" t="s">
        <v>96</v>
      </c>
      <c r="AB44" s="21">
        <f t="shared" si="11"/>
        <v>0.04347826087</v>
      </c>
      <c r="AC44" s="21">
        <f t="shared" si="12"/>
        <v>0.1739130435</v>
      </c>
      <c r="AD44" s="21">
        <f t="shared" si="13"/>
        <v>0.1304347826</v>
      </c>
      <c r="AE44" s="21">
        <f t="shared" si="14"/>
        <v>0.4347826087</v>
      </c>
      <c r="AF44" s="21">
        <f t="shared" si="15"/>
        <v>0.2173913043</v>
      </c>
    </row>
    <row r="45">
      <c r="A45" s="11" t="s">
        <v>42</v>
      </c>
      <c r="B45" s="61">
        <v>4.0</v>
      </c>
      <c r="C45" s="62" t="s">
        <v>97</v>
      </c>
      <c r="E45" s="62" t="s">
        <v>98</v>
      </c>
      <c r="F45" s="52">
        <f t="shared" si="1"/>
        <v>26</v>
      </c>
      <c r="G45" s="53">
        <f t="shared" si="2"/>
        <v>15</v>
      </c>
      <c r="H45" s="52" t="str">
        <f t="shared" si="3"/>
        <v>26 (15)</v>
      </c>
      <c r="I45" s="21">
        <f t="shared" si="4"/>
        <v>0.6538461538</v>
      </c>
      <c r="J45" s="21">
        <f t="shared" si="5"/>
        <v>0.4</v>
      </c>
      <c r="K45" s="21">
        <f t="shared" si="6"/>
        <v>0.496350365</v>
      </c>
      <c r="M45" s="62">
        <v>17.0</v>
      </c>
      <c r="N45" s="62">
        <v>22.0</v>
      </c>
      <c r="O45" s="62" t="s">
        <v>97</v>
      </c>
      <c r="Q45" s="62" t="s">
        <v>98</v>
      </c>
      <c r="R45" s="21">
        <f t="shared" si="7"/>
        <v>1</v>
      </c>
      <c r="S45" s="21">
        <f t="shared" si="8"/>
        <v>0</v>
      </c>
      <c r="T45" s="21">
        <f t="shared" si="9"/>
        <v>0.25</v>
      </c>
      <c r="U45" s="21">
        <f t="shared" si="10"/>
        <v>0.4285714286</v>
      </c>
      <c r="W45" s="62">
        <v>17.0</v>
      </c>
      <c r="X45" s="62">
        <v>22.0</v>
      </c>
      <c r="Y45" s="62" t="s">
        <v>97</v>
      </c>
      <c r="AA45" s="62" t="s">
        <v>98</v>
      </c>
      <c r="AB45" s="21">
        <f t="shared" si="11"/>
        <v>0.07692307692</v>
      </c>
      <c r="AC45" s="21">
        <f t="shared" si="12"/>
        <v>0</v>
      </c>
      <c r="AD45" s="21">
        <f t="shared" si="13"/>
        <v>0.2692307692</v>
      </c>
      <c r="AE45" s="21">
        <f t="shared" si="14"/>
        <v>0.4615384615</v>
      </c>
      <c r="AF45" s="21">
        <f t="shared" si="15"/>
        <v>0.1923076923</v>
      </c>
    </row>
    <row r="46">
      <c r="A46" s="11" t="s">
        <v>42</v>
      </c>
      <c r="B46" s="61">
        <v>3.0</v>
      </c>
      <c r="C46" s="62" t="s">
        <v>95</v>
      </c>
      <c r="D46" s="64">
        <v>25000.0</v>
      </c>
      <c r="E46" s="62" t="s">
        <v>96</v>
      </c>
      <c r="F46" s="52">
        <f t="shared" si="1"/>
        <v>8</v>
      </c>
      <c r="G46" s="53">
        <f t="shared" si="2"/>
        <v>2</v>
      </c>
      <c r="H46" s="52" t="str">
        <f t="shared" si="3"/>
        <v>8 (2)</v>
      </c>
      <c r="I46" s="21">
        <f t="shared" si="4"/>
        <v>0.875</v>
      </c>
      <c r="J46" s="21">
        <f t="shared" si="5"/>
        <v>0.2666666667</v>
      </c>
      <c r="K46" s="21">
        <f t="shared" si="6"/>
        <v>0.4087591241</v>
      </c>
      <c r="M46" s="62">
        <v>30.0</v>
      </c>
      <c r="N46" s="62">
        <v>35.0</v>
      </c>
      <c r="O46" s="62" t="s">
        <v>95</v>
      </c>
      <c r="P46" s="64">
        <v>25000.0</v>
      </c>
      <c r="Q46" s="62" t="s">
        <v>96</v>
      </c>
      <c r="R46" s="21">
        <f t="shared" si="7"/>
        <v>1</v>
      </c>
      <c r="S46" s="21">
        <f t="shared" si="8"/>
        <v>0</v>
      </c>
      <c r="T46" s="21">
        <f t="shared" si="9"/>
        <v>0.25</v>
      </c>
      <c r="U46" s="21">
        <f t="shared" si="10"/>
        <v>0.1428571429</v>
      </c>
      <c r="W46" s="62">
        <v>30.0</v>
      </c>
      <c r="X46" s="62">
        <v>35.0</v>
      </c>
      <c r="Y46" s="62" t="s">
        <v>95</v>
      </c>
      <c r="Z46" s="64">
        <v>25000.0</v>
      </c>
      <c r="AA46" s="62" t="s">
        <v>96</v>
      </c>
      <c r="AB46" s="21">
        <f t="shared" si="11"/>
        <v>0</v>
      </c>
      <c r="AC46" s="21">
        <f t="shared" si="12"/>
        <v>0.125</v>
      </c>
      <c r="AD46" s="21">
        <f t="shared" si="13"/>
        <v>0</v>
      </c>
      <c r="AE46" s="21">
        <f t="shared" si="14"/>
        <v>0.375</v>
      </c>
      <c r="AF46" s="21">
        <f t="shared" si="15"/>
        <v>0.5</v>
      </c>
    </row>
    <row r="47">
      <c r="A47" s="11" t="s">
        <v>42</v>
      </c>
      <c r="B47" s="61">
        <v>3.0</v>
      </c>
      <c r="C47" s="62" t="s">
        <v>97</v>
      </c>
      <c r="E47" s="62" t="s">
        <v>98</v>
      </c>
      <c r="F47" s="52">
        <f t="shared" si="1"/>
        <v>25</v>
      </c>
      <c r="G47" s="48">
        <f t="shared" si="2"/>
        <v>18</v>
      </c>
      <c r="H47" s="52" t="str">
        <f t="shared" si="3"/>
        <v>25 (18)</v>
      </c>
      <c r="I47" s="21">
        <f t="shared" si="4"/>
        <v>0.6</v>
      </c>
      <c r="J47" s="21">
        <f t="shared" si="5"/>
        <v>0.4666666667</v>
      </c>
      <c r="K47" s="21">
        <f t="shared" si="6"/>
        <v>0.525</v>
      </c>
      <c r="M47" s="62">
        <v>30.0</v>
      </c>
      <c r="N47" s="62">
        <v>35.0</v>
      </c>
      <c r="O47" s="62" t="s">
        <v>97</v>
      </c>
      <c r="Q47" s="62" t="s">
        <v>98</v>
      </c>
      <c r="R47" s="21">
        <f t="shared" si="7"/>
        <v>1</v>
      </c>
      <c r="S47" s="21">
        <f t="shared" si="8"/>
        <v>0</v>
      </c>
      <c r="T47" s="21">
        <f t="shared" si="9"/>
        <v>0.5</v>
      </c>
      <c r="U47" s="21">
        <f t="shared" si="10"/>
        <v>0.4285714286</v>
      </c>
      <c r="W47" s="62">
        <v>30.0</v>
      </c>
      <c r="X47" s="62">
        <v>35.0</v>
      </c>
      <c r="Y47" s="62" t="s">
        <v>97</v>
      </c>
      <c r="AA47" s="62" t="s">
        <v>98</v>
      </c>
      <c r="AB47" s="21">
        <f t="shared" si="11"/>
        <v>0.12</v>
      </c>
      <c r="AC47" s="21">
        <f t="shared" si="12"/>
        <v>0.12</v>
      </c>
      <c r="AD47" s="21">
        <f t="shared" si="13"/>
        <v>0.16</v>
      </c>
      <c r="AE47" s="21">
        <f t="shared" si="14"/>
        <v>0.36</v>
      </c>
      <c r="AF47" s="21">
        <f t="shared" si="15"/>
        <v>0.24</v>
      </c>
    </row>
    <row r="48">
      <c r="A48" s="11" t="s">
        <v>42</v>
      </c>
      <c r="B48" s="61">
        <v>2.0</v>
      </c>
      <c r="C48" s="62" t="s">
        <v>95</v>
      </c>
      <c r="D48" s="64">
        <v>10000.0</v>
      </c>
      <c r="E48" s="62" t="s">
        <v>96</v>
      </c>
      <c r="F48" s="52">
        <f t="shared" si="1"/>
        <v>2</v>
      </c>
      <c r="G48" s="52" t="str">
        <f t="shared" si="2"/>
        <v/>
      </c>
      <c r="H48" s="52" t="str">
        <f t="shared" si="3"/>
        <v>2 ()</v>
      </c>
      <c r="I48" s="21">
        <f t="shared" si="4"/>
        <v>1</v>
      </c>
      <c r="J48" s="21">
        <f t="shared" si="5"/>
        <v>0.1333333333</v>
      </c>
      <c r="K48" s="21">
        <f t="shared" si="6"/>
        <v>0.2352941176</v>
      </c>
      <c r="M48" s="62">
        <v>43.0</v>
      </c>
      <c r="N48" s="62">
        <v>48.0</v>
      </c>
      <c r="O48" s="62" t="s">
        <v>95</v>
      </c>
      <c r="P48" s="64">
        <v>10000.0</v>
      </c>
      <c r="Q48" s="62" t="s">
        <v>96</v>
      </c>
      <c r="R48" s="21">
        <f t="shared" si="7"/>
        <v>1</v>
      </c>
      <c r="S48" s="21">
        <f t="shared" si="8"/>
        <v>0</v>
      </c>
      <c r="T48" s="21">
        <f t="shared" si="9"/>
        <v>0</v>
      </c>
      <c r="U48" s="21">
        <f t="shared" si="10"/>
        <v>0</v>
      </c>
      <c r="W48" s="62">
        <v>43.0</v>
      </c>
      <c r="X48" s="62">
        <v>48.0</v>
      </c>
      <c r="Y48" s="62" t="s">
        <v>95</v>
      </c>
      <c r="Z48" s="64">
        <v>10000.0</v>
      </c>
      <c r="AA48" s="62" t="s">
        <v>96</v>
      </c>
      <c r="AB48" s="21">
        <f t="shared" si="11"/>
        <v>0</v>
      </c>
      <c r="AC48" s="21">
        <f t="shared" si="12"/>
        <v>0</v>
      </c>
      <c r="AD48" s="21">
        <f t="shared" si="13"/>
        <v>0</v>
      </c>
      <c r="AE48" s="21">
        <f t="shared" si="14"/>
        <v>0</v>
      </c>
      <c r="AF48" s="21">
        <f t="shared" si="15"/>
        <v>1</v>
      </c>
    </row>
    <row r="49">
      <c r="A49" s="11" t="s">
        <v>42</v>
      </c>
      <c r="B49" s="61">
        <v>2.0</v>
      </c>
      <c r="C49" s="62" t="s">
        <v>97</v>
      </c>
      <c r="E49" s="62" t="s">
        <v>98</v>
      </c>
      <c r="F49" s="52">
        <f t="shared" si="1"/>
        <v>38</v>
      </c>
      <c r="G49" s="52" t="str">
        <f t="shared" si="2"/>
        <v/>
      </c>
      <c r="H49" s="52" t="str">
        <f t="shared" si="3"/>
        <v>38 ()</v>
      </c>
      <c r="I49" s="21">
        <f t="shared" si="4"/>
        <v>0.4736842105</v>
      </c>
      <c r="J49" s="21">
        <f t="shared" si="5"/>
        <v>0.4</v>
      </c>
      <c r="K49" s="21">
        <f t="shared" si="6"/>
        <v>0.4337349398</v>
      </c>
      <c r="M49" s="62">
        <v>43.0</v>
      </c>
      <c r="N49" s="62">
        <v>48.0</v>
      </c>
      <c r="O49" s="62" t="s">
        <v>97</v>
      </c>
      <c r="Q49" s="62" t="s">
        <v>98</v>
      </c>
      <c r="R49" s="21">
        <f t="shared" si="7"/>
        <v>1</v>
      </c>
      <c r="S49" s="21">
        <f t="shared" si="8"/>
        <v>0</v>
      </c>
      <c r="T49" s="21">
        <f t="shared" si="9"/>
        <v>0.5</v>
      </c>
      <c r="U49" s="21">
        <f t="shared" si="10"/>
        <v>0.2857142857</v>
      </c>
      <c r="W49" s="62">
        <v>43.0</v>
      </c>
      <c r="X49" s="62">
        <v>48.0</v>
      </c>
      <c r="Y49" s="62" t="s">
        <v>97</v>
      </c>
      <c r="AA49" s="62" t="s">
        <v>98</v>
      </c>
      <c r="AB49" s="21">
        <f t="shared" si="11"/>
        <v>0.05263157895</v>
      </c>
      <c r="AC49" s="21">
        <f t="shared" si="12"/>
        <v>0.2368421053</v>
      </c>
      <c r="AD49" s="21">
        <f t="shared" si="13"/>
        <v>0.2368421053</v>
      </c>
      <c r="AE49" s="21">
        <f t="shared" si="14"/>
        <v>0.3157894737</v>
      </c>
      <c r="AF49" s="21">
        <f t="shared" si="15"/>
        <v>0.1578947368</v>
      </c>
    </row>
    <row r="50">
      <c r="B50" s="48"/>
    </row>
    <row r="51">
      <c r="B51" s="48"/>
    </row>
    <row r="52">
      <c r="B52" s="48"/>
    </row>
    <row r="53">
      <c r="B53" s="48"/>
    </row>
    <row r="54">
      <c r="B54" s="48"/>
    </row>
    <row r="55">
      <c r="B55" s="48"/>
    </row>
    <row r="56">
      <c r="B56" s="48"/>
    </row>
    <row r="57">
      <c r="B57" s="48"/>
    </row>
    <row r="58">
      <c r="B58" s="48"/>
    </row>
    <row r="59">
      <c r="B59" s="48"/>
    </row>
    <row r="60">
      <c r="B60" s="48"/>
    </row>
    <row r="61">
      <c r="B61" s="48"/>
    </row>
    <row r="62">
      <c r="B62" s="48"/>
    </row>
    <row r="63">
      <c r="B63" s="48"/>
    </row>
    <row r="64">
      <c r="B64" s="48"/>
    </row>
    <row r="65">
      <c r="B65" s="48"/>
    </row>
    <row r="66">
      <c r="B66" s="48"/>
    </row>
    <row r="67">
      <c r="B67" s="48"/>
    </row>
    <row r="68">
      <c r="B68" s="48"/>
    </row>
    <row r="69">
      <c r="B69" s="48"/>
    </row>
    <row r="70">
      <c r="B70" s="48"/>
    </row>
    <row r="71">
      <c r="B71" s="48"/>
    </row>
    <row r="72">
      <c r="B72" s="48"/>
    </row>
    <row r="73">
      <c r="B73" s="48"/>
    </row>
    <row r="74">
      <c r="B74" s="48"/>
    </row>
    <row r="75">
      <c r="B75" s="48"/>
    </row>
    <row r="76">
      <c r="B76" s="48"/>
    </row>
    <row r="77">
      <c r="B77" s="48"/>
    </row>
    <row r="78">
      <c r="B78" s="48"/>
    </row>
    <row r="79">
      <c r="B79" s="48"/>
    </row>
    <row r="80">
      <c r="B80" s="48"/>
    </row>
    <row r="81">
      <c r="B81" s="48"/>
    </row>
    <row r="82">
      <c r="B82" s="48"/>
    </row>
    <row r="83">
      <c r="B83" s="48"/>
    </row>
    <row r="84">
      <c r="B84" s="48"/>
    </row>
    <row r="85">
      <c r="B85" s="48"/>
    </row>
    <row r="86">
      <c r="B86" s="48"/>
    </row>
    <row r="87">
      <c r="B87" s="48"/>
    </row>
    <row r="88">
      <c r="B88" s="48"/>
    </row>
    <row r="89">
      <c r="B89" s="48"/>
    </row>
    <row r="90">
      <c r="B90" s="48"/>
    </row>
    <row r="91">
      <c r="B91" s="48"/>
    </row>
    <row r="92">
      <c r="B92" s="48"/>
    </row>
    <row r="93">
      <c r="B93" s="48"/>
    </row>
    <row r="94">
      <c r="B94" s="48"/>
    </row>
    <row r="95">
      <c r="B95" s="48"/>
    </row>
    <row r="96">
      <c r="B96" s="48"/>
    </row>
    <row r="97">
      <c r="B97" s="48"/>
    </row>
    <row r="98">
      <c r="B98" s="48"/>
    </row>
    <row r="99">
      <c r="B99" s="48"/>
    </row>
    <row r="100">
      <c r="B100" s="48"/>
    </row>
    <row r="101">
      <c r="B101" s="48"/>
    </row>
    <row r="102">
      <c r="B102" s="48"/>
    </row>
    <row r="103">
      <c r="B103" s="48"/>
    </row>
    <row r="104">
      <c r="B104" s="48"/>
    </row>
    <row r="105">
      <c r="B105" s="48"/>
    </row>
    <row r="106">
      <c r="B106" s="48"/>
    </row>
    <row r="107">
      <c r="B107" s="48"/>
    </row>
    <row r="108">
      <c r="B108" s="48"/>
    </row>
    <row r="109">
      <c r="B109" s="48"/>
    </row>
    <row r="110">
      <c r="B110" s="48"/>
    </row>
    <row r="111">
      <c r="B111" s="48"/>
    </row>
    <row r="112">
      <c r="B112" s="48"/>
    </row>
    <row r="113">
      <c r="B113" s="48"/>
    </row>
    <row r="114">
      <c r="B114" s="48"/>
    </row>
    <row r="115">
      <c r="B115" s="48"/>
    </row>
    <row r="116">
      <c r="B116" s="48"/>
    </row>
    <row r="117">
      <c r="B117" s="48"/>
    </row>
    <row r="118">
      <c r="B118" s="48"/>
    </row>
    <row r="119">
      <c r="B119" s="48"/>
    </row>
    <row r="120">
      <c r="B120" s="48"/>
    </row>
    <row r="121">
      <c r="B121" s="48"/>
    </row>
    <row r="122">
      <c r="B122" s="48"/>
    </row>
    <row r="123">
      <c r="B123" s="48"/>
    </row>
    <row r="124">
      <c r="B124" s="48"/>
    </row>
    <row r="125">
      <c r="B125" s="48"/>
    </row>
    <row r="126">
      <c r="B126" s="48"/>
    </row>
    <row r="127">
      <c r="B127" s="48"/>
    </row>
    <row r="128">
      <c r="B128" s="48"/>
    </row>
    <row r="129">
      <c r="B129" s="48"/>
    </row>
    <row r="130">
      <c r="B130" s="48"/>
    </row>
    <row r="131">
      <c r="B131" s="48"/>
    </row>
    <row r="132">
      <c r="B132" s="48"/>
    </row>
    <row r="133">
      <c r="B133" s="48"/>
    </row>
    <row r="134">
      <c r="B134" s="48"/>
    </row>
    <row r="135">
      <c r="B135" s="48"/>
    </row>
    <row r="136">
      <c r="B136" s="48"/>
    </row>
    <row r="137">
      <c r="B137" s="48"/>
    </row>
    <row r="138">
      <c r="B138" s="48"/>
    </row>
    <row r="139">
      <c r="B139" s="48"/>
    </row>
    <row r="140">
      <c r="B140" s="48"/>
    </row>
    <row r="141">
      <c r="B141" s="48"/>
    </row>
    <row r="142">
      <c r="B142" s="48"/>
    </row>
    <row r="143">
      <c r="B143" s="48"/>
    </row>
    <row r="144">
      <c r="B144" s="48"/>
    </row>
    <row r="145">
      <c r="B145" s="48"/>
    </row>
    <row r="146">
      <c r="B146" s="48"/>
    </row>
    <row r="147">
      <c r="B147" s="48"/>
    </row>
    <row r="148">
      <c r="B148" s="48"/>
    </row>
    <row r="149">
      <c r="B149" s="48"/>
    </row>
    <row r="150">
      <c r="B150" s="48"/>
    </row>
    <row r="151">
      <c r="B151" s="48"/>
    </row>
    <row r="152">
      <c r="B152" s="48"/>
    </row>
    <row r="153">
      <c r="B153" s="48"/>
    </row>
    <row r="154">
      <c r="B154" s="48"/>
    </row>
    <row r="155">
      <c r="B155" s="48"/>
    </row>
    <row r="156">
      <c r="B156" s="48"/>
    </row>
    <row r="157">
      <c r="B157" s="48"/>
    </row>
    <row r="158">
      <c r="B158" s="48"/>
    </row>
    <row r="159">
      <c r="B159" s="48"/>
    </row>
    <row r="160">
      <c r="B160" s="48"/>
    </row>
    <row r="161">
      <c r="B161" s="48"/>
    </row>
    <row r="162">
      <c r="B162" s="48"/>
    </row>
    <row r="163">
      <c r="B163" s="48"/>
    </row>
    <row r="164">
      <c r="B164" s="48"/>
    </row>
    <row r="165">
      <c r="B165" s="48"/>
    </row>
    <row r="166">
      <c r="B166" s="48"/>
    </row>
    <row r="167">
      <c r="B167" s="48"/>
    </row>
    <row r="168">
      <c r="B168" s="48"/>
    </row>
    <row r="169">
      <c r="B169" s="48"/>
    </row>
    <row r="170">
      <c r="B170" s="48"/>
    </row>
    <row r="171">
      <c r="B171" s="48"/>
    </row>
    <row r="172">
      <c r="B172" s="48"/>
    </row>
    <row r="173">
      <c r="B173" s="48"/>
    </row>
    <row r="174">
      <c r="B174" s="48"/>
    </row>
    <row r="175">
      <c r="B175" s="48"/>
    </row>
    <row r="176">
      <c r="B176" s="48"/>
    </row>
    <row r="177">
      <c r="B177" s="48"/>
    </row>
    <row r="178">
      <c r="B178" s="48"/>
    </row>
    <row r="179">
      <c r="B179" s="48"/>
    </row>
    <row r="180">
      <c r="B180" s="48"/>
    </row>
    <row r="181">
      <c r="B181" s="48"/>
    </row>
    <row r="182">
      <c r="B182" s="48"/>
    </row>
    <row r="183">
      <c r="B183" s="48"/>
    </row>
    <row r="184">
      <c r="B184" s="48"/>
    </row>
    <row r="185">
      <c r="B185" s="48"/>
    </row>
    <row r="186">
      <c r="B186" s="48"/>
    </row>
    <row r="187">
      <c r="B187" s="48"/>
    </row>
    <row r="188">
      <c r="B188" s="48"/>
    </row>
    <row r="189">
      <c r="B189" s="48"/>
    </row>
    <row r="190">
      <c r="B190" s="48"/>
    </row>
    <row r="191">
      <c r="B191" s="48"/>
    </row>
    <row r="192">
      <c r="B192" s="48"/>
    </row>
    <row r="193">
      <c r="B193" s="48"/>
    </row>
    <row r="194">
      <c r="B194" s="48"/>
    </row>
    <row r="195">
      <c r="B195" s="48"/>
    </row>
    <row r="196">
      <c r="B196" s="48"/>
    </row>
    <row r="197">
      <c r="B197" s="48"/>
    </row>
    <row r="198">
      <c r="B198" s="48"/>
    </row>
    <row r="199">
      <c r="B199" s="48"/>
    </row>
    <row r="200">
      <c r="B200" s="48"/>
    </row>
    <row r="201">
      <c r="B201" s="48"/>
    </row>
    <row r="202">
      <c r="B202" s="48"/>
    </row>
    <row r="203">
      <c r="B203" s="48"/>
    </row>
    <row r="204">
      <c r="B204" s="48"/>
    </row>
    <row r="205">
      <c r="B205" s="48"/>
    </row>
    <row r="206">
      <c r="B206" s="48"/>
    </row>
    <row r="207">
      <c r="B207" s="48"/>
    </row>
    <row r="208">
      <c r="B208" s="48"/>
    </row>
    <row r="209">
      <c r="B209" s="48"/>
    </row>
    <row r="210">
      <c r="B210" s="48"/>
    </row>
    <row r="211">
      <c r="B211" s="48"/>
    </row>
    <row r="212">
      <c r="B212" s="48"/>
    </row>
    <row r="213">
      <c r="B213" s="48"/>
    </row>
    <row r="214">
      <c r="B214" s="48"/>
    </row>
    <row r="215">
      <c r="B215" s="48"/>
    </row>
    <row r="216">
      <c r="B216" s="48"/>
    </row>
    <row r="217">
      <c r="B217" s="48"/>
    </row>
    <row r="218">
      <c r="B218" s="48"/>
    </row>
    <row r="219">
      <c r="B219" s="48"/>
    </row>
    <row r="220">
      <c r="B220" s="48"/>
    </row>
    <row r="221">
      <c r="B221" s="48"/>
    </row>
    <row r="222">
      <c r="B222" s="48"/>
    </row>
    <row r="223">
      <c r="B223" s="48"/>
    </row>
    <row r="224">
      <c r="B224" s="48"/>
    </row>
    <row r="225">
      <c r="B225" s="48"/>
    </row>
    <row r="226">
      <c r="B226" s="48"/>
    </row>
    <row r="227">
      <c r="B227" s="48"/>
    </row>
    <row r="228">
      <c r="B228" s="48"/>
    </row>
    <row r="229">
      <c r="B229" s="48"/>
    </row>
    <row r="230">
      <c r="B230" s="48"/>
    </row>
    <row r="231">
      <c r="B231" s="48"/>
    </row>
    <row r="232">
      <c r="B232" s="48"/>
    </row>
    <row r="233">
      <c r="B233" s="48"/>
    </row>
    <row r="234">
      <c r="B234" s="48"/>
    </row>
    <row r="235">
      <c r="B235" s="48"/>
    </row>
    <row r="236">
      <c r="B236" s="48"/>
    </row>
    <row r="237">
      <c r="B237" s="48"/>
    </row>
    <row r="238">
      <c r="B238" s="48"/>
    </row>
    <row r="239">
      <c r="B239" s="48"/>
    </row>
    <row r="240">
      <c r="B240" s="48"/>
    </row>
    <row r="241">
      <c r="B241" s="48"/>
    </row>
    <row r="242">
      <c r="B242" s="48"/>
    </row>
    <row r="243">
      <c r="B243" s="48"/>
    </row>
    <row r="244">
      <c r="B244" s="48"/>
    </row>
    <row r="245">
      <c r="B245" s="48"/>
    </row>
    <row r="246">
      <c r="B246" s="48"/>
    </row>
    <row r="247">
      <c r="B247" s="48"/>
    </row>
    <row r="248">
      <c r="B248" s="48"/>
    </row>
    <row r="249">
      <c r="B249" s="48"/>
    </row>
    <row r="250">
      <c r="B250" s="48"/>
    </row>
    <row r="251">
      <c r="B251" s="48"/>
    </row>
    <row r="252">
      <c r="B252" s="48"/>
    </row>
    <row r="253">
      <c r="B253" s="48"/>
    </row>
    <row r="254">
      <c r="B254" s="48"/>
    </row>
    <row r="255">
      <c r="B255" s="48"/>
    </row>
    <row r="256">
      <c r="B256" s="48"/>
    </row>
    <row r="257">
      <c r="B257" s="48"/>
    </row>
    <row r="258">
      <c r="B258" s="48"/>
    </row>
    <row r="259">
      <c r="B259" s="48"/>
    </row>
    <row r="260">
      <c r="B260" s="48"/>
    </row>
    <row r="261">
      <c r="B261" s="48"/>
    </row>
    <row r="262">
      <c r="B262" s="48"/>
    </row>
    <row r="263">
      <c r="B263" s="48"/>
    </row>
    <row r="264">
      <c r="B264" s="48"/>
    </row>
    <row r="265">
      <c r="B265" s="48"/>
    </row>
    <row r="266">
      <c r="B266" s="48"/>
    </row>
    <row r="267">
      <c r="B267" s="48"/>
    </row>
    <row r="268">
      <c r="B268" s="48"/>
    </row>
    <row r="269">
      <c r="B269" s="48"/>
    </row>
    <row r="270">
      <c r="B270" s="48"/>
    </row>
    <row r="271">
      <c r="B271" s="48"/>
    </row>
    <row r="272">
      <c r="B272" s="48"/>
    </row>
    <row r="273">
      <c r="B273" s="48"/>
    </row>
    <row r="274">
      <c r="B274" s="48"/>
    </row>
    <row r="275">
      <c r="B275" s="48"/>
    </row>
    <row r="276">
      <c r="B276" s="48"/>
    </row>
    <row r="277">
      <c r="B277" s="48"/>
    </row>
    <row r="278">
      <c r="B278" s="48"/>
    </row>
    <row r="279">
      <c r="B279" s="48"/>
    </row>
    <row r="280">
      <c r="B280" s="48"/>
    </row>
    <row r="281">
      <c r="B281" s="48"/>
    </row>
    <row r="282">
      <c r="B282" s="48"/>
    </row>
    <row r="283">
      <c r="B283" s="48"/>
    </row>
    <row r="284">
      <c r="B284" s="48"/>
    </row>
    <row r="285">
      <c r="B285" s="48"/>
    </row>
    <row r="286">
      <c r="B286" s="48"/>
    </row>
    <row r="287">
      <c r="B287" s="48"/>
    </row>
    <row r="288">
      <c r="B288" s="48"/>
    </row>
    <row r="289">
      <c r="B289" s="48"/>
    </row>
    <row r="290">
      <c r="B290" s="48"/>
    </row>
    <row r="291">
      <c r="B291" s="48"/>
    </row>
    <row r="292">
      <c r="B292" s="48"/>
    </row>
    <row r="293">
      <c r="B293" s="48"/>
    </row>
    <row r="294">
      <c r="B294" s="48"/>
    </row>
    <row r="295">
      <c r="B295" s="48"/>
    </row>
    <row r="296">
      <c r="B296" s="48"/>
    </row>
    <row r="297">
      <c r="B297" s="48"/>
    </row>
    <row r="298">
      <c r="B298" s="48"/>
    </row>
    <row r="299">
      <c r="B299" s="48"/>
    </row>
    <row r="300">
      <c r="B300" s="48"/>
    </row>
    <row r="301">
      <c r="B301" s="48"/>
    </row>
    <row r="302">
      <c r="B302" s="48"/>
    </row>
    <row r="303">
      <c r="B303" s="48"/>
    </row>
    <row r="304">
      <c r="B304" s="48"/>
    </row>
    <row r="305">
      <c r="B305" s="48"/>
    </row>
    <row r="306">
      <c r="B306" s="48"/>
    </row>
    <row r="307">
      <c r="B307" s="48"/>
    </row>
    <row r="308">
      <c r="B308" s="48"/>
    </row>
    <row r="309">
      <c r="B309" s="48"/>
    </row>
    <row r="310">
      <c r="B310" s="48"/>
    </row>
    <row r="311">
      <c r="B311" s="48"/>
    </row>
    <row r="312">
      <c r="B312" s="48"/>
    </row>
    <row r="313">
      <c r="B313" s="48"/>
    </row>
    <row r="314">
      <c r="B314" s="48"/>
    </row>
    <row r="315">
      <c r="B315" s="48"/>
    </row>
    <row r="316">
      <c r="B316" s="48"/>
    </row>
    <row r="317">
      <c r="B317" s="48"/>
    </row>
    <row r="318">
      <c r="B318" s="48"/>
    </row>
    <row r="319">
      <c r="B319" s="48"/>
    </row>
    <row r="320">
      <c r="B320" s="48"/>
    </row>
    <row r="321">
      <c r="B321" s="48"/>
    </row>
    <row r="322">
      <c r="B322" s="48"/>
    </row>
    <row r="323">
      <c r="B323" s="48"/>
    </row>
    <row r="324">
      <c r="B324" s="48"/>
    </row>
    <row r="325">
      <c r="B325" s="48"/>
    </row>
    <row r="326">
      <c r="B326" s="48"/>
    </row>
    <row r="327">
      <c r="B327" s="48"/>
    </row>
    <row r="328">
      <c r="B328" s="48"/>
    </row>
    <row r="329">
      <c r="B329" s="48"/>
    </row>
    <row r="330">
      <c r="B330" s="48"/>
    </row>
    <row r="331">
      <c r="B331" s="48"/>
    </row>
    <row r="332">
      <c r="B332" s="48"/>
    </row>
    <row r="333">
      <c r="B333" s="48"/>
    </row>
    <row r="334">
      <c r="B334" s="48"/>
    </row>
    <row r="335">
      <c r="B335" s="48"/>
    </row>
    <row r="336">
      <c r="B336" s="48"/>
    </row>
    <row r="337">
      <c r="B337" s="48"/>
    </row>
    <row r="338">
      <c r="B338" s="48"/>
    </row>
    <row r="339">
      <c r="B339" s="48"/>
    </row>
    <row r="340">
      <c r="B340" s="48"/>
    </row>
    <row r="341">
      <c r="B341" s="48"/>
    </row>
    <row r="342">
      <c r="B342" s="48"/>
    </row>
    <row r="343">
      <c r="B343" s="48"/>
    </row>
    <row r="344">
      <c r="B344" s="48"/>
    </row>
    <row r="345">
      <c r="B345" s="48"/>
    </row>
    <row r="346">
      <c r="B346" s="48"/>
    </row>
    <row r="347">
      <c r="B347" s="48"/>
    </row>
    <row r="348">
      <c r="B348" s="48"/>
    </row>
    <row r="349">
      <c r="B349" s="48"/>
    </row>
    <row r="350">
      <c r="B350" s="48"/>
    </row>
    <row r="351">
      <c r="B351" s="48"/>
    </row>
    <row r="352">
      <c r="B352" s="48"/>
    </row>
    <row r="353">
      <c r="B353" s="48"/>
    </row>
    <row r="354">
      <c r="B354" s="48"/>
    </row>
    <row r="355">
      <c r="B355" s="48"/>
    </row>
    <row r="356">
      <c r="B356" s="48"/>
    </row>
    <row r="357">
      <c r="B357" s="48"/>
    </row>
    <row r="358">
      <c r="B358" s="48"/>
    </row>
    <row r="359">
      <c r="B359" s="48"/>
    </row>
    <row r="360">
      <c r="B360" s="48"/>
    </row>
    <row r="361">
      <c r="B361" s="48"/>
    </row>
    <row r="362">
      <c r="B362" s="48"/>
    </row>
    <row r="363">
      <c r="B363" s="48"/>
    </row>
    <row r="364">
      <c r="B364" s="48"/>
    </row>
    <row r="365">
      <c r="B365" s="48"/>
    </row>
    <row r="366">
      <c r="B366" s="48"/>
    </row>
    <row r="367">
      <c r="B367" s="48"/>
    </row>
    <row r="368">
      <c r="B368" s="48"/>
    </row>
    <row r="369">
      <c r="B369" s="48"/>
    </row>
    <row r="370">
      <c r="B370" s="48"/>
    </row>
    <row r="371">
      <c r="B371" s="48"/>
    </row>
    <row r="372">
      <c r="B372" s="48"/>
    </row>
    <row r="373">
      <c r="B373" s="48"/>
    </row>
    <row r="374">
      <c r="B374" s="48"/>
    </row>
    <row r="375">
      <c r="B375" s="48"/>
    </row>
    <row r="376">
      <c r="B376" s="48"/>
    </row>
    <row r="377">
      <c r="B377" s="48"/>
    </row>
    <row r="378">
      <c r="B378" s="48"/>
    </row>
    <row r="379">
      <c r="B379" s="48"/>
    </row>
    <row r="380">
      <c r="B380" s="48"/>
    </row>
    <row r="381">
      <c r="B381" s="48"/>
    </row>
    <row r="382">
      <c r="B382" s="48"/>
    </row>
    <row r="383">
      <c r="B383" s="48"/>
    </row>
    <row r="384">
      <c r="B384" s="48"/>
    </row>
    <row r="385">
      <c r="B385" s="48"/>
    </row>
    <row r="386">
      <c r="B386" s="48"/>
    </row>
    <row r="387">
      <c r="B387" s="48"/>
    </row>
    <row r="388">
      <c r="B388" s="48"/>
    </row>
    <row r="389">
      <c r="B389" s="48"/>
    </row>
    <row r="390">
      <c r="B390" s="48"/>
    </row>
    <row r="391">
      <c r="B391" s="48"/>
    </row>
    <row r="392">
      <c r="B392" s="48"/>
    </row>
    <row r="393">
      <c r="B393" s="48"/>
    </row>
    <row r="394">
      <c r="B394" s="48"/>
    </row>
    <row r="395">
      <c r="B395" s="48"/>
    </row>
    <row r="396">
      <c r="B396" s="48"/>
    </row>
    <row r="397">
      <c r="B397" s="48"/>
    </row>
    <row r="398">
      <c r="B398" s="48"/>
    </row>
    <row r="399">
      <c r="B399" s="48"/>
    </row>
    <row r="400">
      <c r="B400" s="48"/>
    </row>
    <row r="401">
      <c r="B401" s="48"/>
    </row>
    <row r="402">
      <c r="B402" s="48"/>
    </row>
    <row r="403">
      <c r="B403" s="48"/>
    </row>
    <row r="404">
      <c r="B404" s="48"/>
    </row>
    <row r="405">
      <c r="B405" s="48"/>
    </row>
    <row r="406">
      <c r="B406" s="48"/>
    </row>
    <row r="407">
      <c r="B407" s="48"/>
    </row>
    <row r="408">
      <c r="B408" s="48"/>
    </row>
    <row r="409">
      <c r="B409" s="48"/>
    </row>
    <row r="410">
      <c r="B410" s="48"/>
    </row>
    <row r="411">
      <c r="B411" s="48"/>
    </row>
    <row r="412">
      <c r="B412" s="48"/>
    </row>
    <row r="413">
      <c r="B413" s="48"/>
    </row>
    <row r="414">
      <c r="B414" s="48"/>
    </row>
    <row r="415">
      <c r="B415" s="48"/>
    </row>
    <row r="416">
      <c r="B416" s="48"/>
    </row>
    <row r="417">
      <c r="B417" s="48"/>
    </row>
    <row r="418">
      <c r="B418" s="48"/>
    </row>
    <row r="419">
      <c r="B419" s="48"/>
    </row>
    <row r="420">
      <c r="B420" s="48"/>
    </row>
    <row r="421">
      <c r="B421" s="48"/>
    </row>
    <row r="422">
      <c r="B422" s="48"/>
    </row>
    <row r="423">
      <c r="B423" s="48"/>
    </row>
    <row r="424">
      <c r="B424" s="48"/>
    </row>
    <row r="425">
      <c r="B425" s="48"/>
    </row>
    <row r="426">
      <c r="B426" s="48"/>
    </row>
    <row r="427">
      <c r="B427" s="48"/>
    </row>
    <row r="428">
      <c r="B428" s="48"/>
    </row>
    <row r="429">
      <c r="B429" s="48"/>
    </row>
    <row r="430">
      <c r="B430" s="48"/>
    </row>
    <row r="431">
      <c r="B431" s="48"/>
    </row>
    <row r="432">
      <c r="B432" s="48"/>
    </row>
    <row r="433">
      <c r="B433" s="48"/>
    </row>
    <row r="434">
      <c r="B434" s="48"/>
    </row>
    <row r="435">
      <c r="B435" s="48"/>
    </row>
    <row r="436">
      <c r="B436" s="48"/>
    </row>
    <row r="437">
      <c r="B437" s="48"/>
    </row>
    <row r="438">
      <c r="B438" s="48"/>
    </row>
    <row r="439">
      <c r="B439" s="48"/>
    </row>
    <row r="440">
      <c r="B440" s="48"/>
    </row>
    <row r="441">
      <c r="B441" s="48"/>
    </row>
    <row r="442">
      <c r="B442" s="48"/>
    </row>
    <row r="443">
      <c r="B443" s="48"/>
    </row>
    <row r="444">
      <c r="B444" s="48"/>
    </row>
    <row r="445">
      <c r="B445" s="48"/>
    </row>
    <row r="446">
      <c r="B446" s="48"/>
    </row>
    <row r="447">
      <c r="B447" s="48"/>
    </row>
    <row r="448">
      <c r="B448" s="48"/>
    </row>
    <row r="449">
      <c r="B449" s="48"/>
    </row>
    <row r="450">
      <c r="B450" s="48"/>
    </row>
    <row r="451">
      <c r="B451" s="48"/>
    </row>
    <row r="452">
      <c r="B452" s="48"/>
    </row>
    <row r="453">
      <c r="B453" s="48"/>
    </row>
    <row r="454">
      <c r="B454" s="48"/>
    </row>
    <row r="455">
      <c r="B455" s="48"/>
    </row>
    <row r="456">
      <c r="B456" s="48"/>
    </row>
    <row r="457">
      <c r="B457" s="48"/>
    </row>
    <row r="458">
      <c r="B458" s="48"/>
    </row>
    <row r="459">
      <c r="B459" s="48"/>
    </row>
    <row r="460">
      <c r="B460" s="48"/>
    </row>
    <row r="461">
      <c r="B461" s="48"/>
    </row>
    <row r="462">
      <c r="B462" s="48"/>
    </row>
    <row r="463">
      <c r="B463" s="48"/>
    </row>
    <row r="464">
      <c r="B464" s="48"/>
    </row>
    <row r="465">
      <c r="B465" s="48"/>
    </row>
    <row r="466">
      <c r="B466" s="48"/>
    </row>
    <row r="467">
      <c r="B467" s="48"/>
    </row>
    <row r="468">
      <c r="B468" s="48"/>
    </row>
    <row r="469">
      <c r="B469" s="48"/>
    </row>
    <row r="470">
      <c r="B470" s="48"/>
    </row>
    <row r="471">
      <c r="B471" s="48"/>
    </row>
    <row r="472">
      <c r="B472" s="48"/>
    </row>
    <row r="473">
      <c r="B473" s="48"/>
    </row>
    <row r="474">
      <c r="B474" s="48"/>
    </row>
    <row r="475">
      <c r="B475" s="48"/>
    </row>
    <row r="476">
      <c r="B476" s="48"/>
    </row>
    <row r="477">
      <c r="B477" s="48"/>
    </row>
    <row r="478">
      <c r="B478" s="48"/>
    </row>
    <row r="479">
      <c r="B479" s="48"/>
    </row>
    <row r="480">
      <c r="B480" s="48"/>
    </row>
    <row r="481">
      <c r="B481" s="48"/>
    </row>
    <row r="482">
      <c r="B482" s="48"/>
    </row>
    <row r="483">
      <c r="B483" s="48"/>
    </row>
    <row r="484">
      <c r="B484" s="48"/>
    </row>
    <row r="485">
      <c r="B485" s="48"/>
    </row>
    <row r="486">
      <c r="B486" s="48"/>
    </row>
    <row r="487">
      <c r="B487" s="48"/>
    </row>
    <row r="488">
      <c r="B488" s="48"/>
    </row>
    <row r="489">
      <c r="B489" s="48"/>
    </row>
    <row r="490">
      <c r="B490" s="48"/>
    </row>
    <row r="491">
      <c r="B491" s="48"/>
    </row>
    <row r="492">
      <c r="B492" s="48"/>
    </row>
    <row r="493">
      <c r="B493" s="48"/>
    </row>
    <row r="494">
      <c r="B494" s="48"/>
    </row>
    <row r="495">
      <c r="B495" s="48"/>
    </row>
    <row r="496">
      <c r="B496" s="48"/>
    </row>
    <row r="497">
      <c r="B497" s="48"/>
    </row>
    <row r="498">
      <c r="B498" s="48"/>
    </row>
    <row r="499">
      <c r="B499" s="48"/>
    </row>
    <row r="500">
      <c r="B500" s="48"/>
    </row>
    <row r="501">
      <c r="B501" s="48"/>
    </row>
    <row r="502">
      <c r="B502" s="48"/>
    </row>
    <row r="503">
      <c r="B503" s="48"/>
    </row>
    <row r="504">
      <c r="B504" s="48"/>
    </row>
    <row r="505">
      <c r="B505" s="48"/>
    </row>
    <row r="506">
      <c r="B506" s="48"/>
    </row>
    <row r="507">
      <c r="B507" s="48"/>
    </row>
    <row r="508">
      <c r="B508" s="48"/>
    </row>
    <row r="509">
      <c r="B509" s="48"/>
    </row>
    <row r="510">
      <c r="B510" s="48"/>
    </row>
    <row r="511">
      <c r="B511" s="48"/>
    </row>
    <row r="512">
      <c r="B512" s="48"/>
    </row>
    <row r="513">
      <c r="B513" s="48"/>
    </row>
    <row r="514">
      <c r="B514" s="48"/>
    </row>
    <row r="515">
      <c r="B515" s="48"/>
    </row>
    <row r="516">
      <c r="B516" s="48"/>
    </row>
    <row r="517">
      <c r="B517" s="48"/>
    </row>
    <row r="518">
      <c r="B518" s="48"/>
    </row>
    <row r="519">
      <c r="B519" s="48"/>
    </row>
    <row r="520">
      <c r="B520" s="48"/>
    </row>
    <row r="521">
      <c r="B521" s="48"/>
    </row>
    <row r="522">
      <c r="B522" s="48"/>
    </row>
    <row r="523">
      <c r="B523" s="48"/>
    </row>
    <row r="524">
      <c r="B524" s="48"/>
    </row>
    <row r="525">
      <c r="B525" s="48"/>
    </row>
    <row r="526">
      <c r="B526" s="48"/>
    </row>
    <row r="527">
      <c r="B527" s="48"/>
    </row>
    <row r="528">
      <c r="B528" s="48"/>
    </row>
    <row r="529">
      <c r="B529" s="48"/>
    </row>
    <row r="530">
      <c r="B530" s="48"/>
    </row>
    <row r="531">
      <c r="B531" s="48"/>
    </row>
    <row r="532">
      <c r="B532" s="48"/>
    </row>
    <row r="533">
      <c r="B533" s="48"/>
    </row>
    <row r="534">
      <c r="B534" s="48"/>
    </row>
    <row r="535">
      <c r="B535" s="48"/>
    </row>
    <row r="536">
      <c r="B536" s="48"/>
    </row>
    <row r="537">
      <c r="B537" s="48"/>
    </row>
    <row r="538">
      <c r="B538" s="48"/>
    </row>
    <row r="539">
      <c r="B539" s="48"/>
    </row>
    <row r="540">
      <c r="B540" s="48"/>
    </row>
    <row r="541">
      <c r="B541" s="48"/>
    </row>
    <row r="542">
      <c r="B542" s="48"/>
    </row>
    <row r="543">
      <c r="B543" s="48"/>
    </row>
    <row r="544">
      <c r="B544" s="48"/>
    </row>
    <row r="545">
      <c r="B545" s="48"/>
    </row>
    <row r="546">
      <c r="B546" s="48"/>
    </row>
    <row r="547">
      <c r="B547" s="48"/>
    </row>
    <row r="548">
      <c r="B548" s="48"/>
    </row>
    <row r="549">
      <c r="B549" s="48"/>
    </row>
    <row r="550">
      <c r="B550" s="48"/>
    </row>
    <row r="551">
      <c r="B551" s="48"/>
    </row>
    <row r="552">
      <c r="B552" s="48"/>
    </row>
    <row r="553">
      <c r="B553" s="48"/>
    </row>
    <row r="554">
      <c r="B554" s="48"/>
    </row>
    <row r="555">
      <c r="B555" s="48"/>
    </row>
    <row r="556">
      <c r="B556" s="48"/>
    </row>
    <row r="557">
      <c r="B557" s="48"/>
    </row>
    <row r="558">
      <c r="B558" s="48"/>
    </row>
    <row r="559">
      <c r="B559" s="48"/>
    </row>
    <row r="560">
      <c r="B560" s="48"/>
    </row>
    <row r="561">
      <c r="B561" s="48"/>
    </row>
    <row r="562">
      <c r="B562" s="48"/>
    </row>
    <row r="563">
      <c r="B563" s="48"/>
    </row>
    <row r="564">
      <c r="B564" s="48"/>
    </row>
    <row r="565">
      <c r="B565" s="48"/>
    </row>
    <row r="566">
      <c r="B566" s="48"/>
    </row>
    <row r="567">
      <c r="B567" s="48"/>
    </row>
    <row r="568">
      <c r="B568" s="48"/>
    </row>
    <row r="569">
      <c r="B569" s="48"/>
    </row>
    <row r="570">
      <c r="B570" s="48"/>
    </row>
    <row r="571">
      <c r="B571" s="48"/>
    </row>
    <row r="572">
      <c r="B572" s="48"/>
    </row>
    <row r="573">
      <c r="B573" s="48"/>
    </row>
    <row r="574">
      <c r="B574" s="48"/>
    </row>
    <row r="575">
      <c r="B575" s="48"/>
    </row>
    <row r="576">
      <c r="B576" s="48"/>
    </row>
    <row r="577">
      <c r="B577" s="48"/>
    </row>
    <row r="578">
      <c r="B578" s="48"/>
    </row>
    <row r="579">
      <c r="B579" s="48"/>
    </row>
    <row r="580">
      <c r="B580" s="48"/>
    </row>
    <row r="581">
      <c r="B581" s="48"/>
    </row>
    <row r="582">
      <c r="B582" s="48"/>
    </row>
    <row r="583">
      <c r="B583" s="48"/>
    </row>
    <row r="584">
      <c r="B584" s="48"/>
    </row>
    <row r="585">
      <c r="B585" s="48"/>
    </row>
    <row r="586">
      <c r="B586" s="48"/>
    </row>
    <row r="587">
      <c r="B587" s="48"/>
    </row>
    <row r="588">
      <c r="B588" s="48"/>
    </row>
    <row r="589">
      <c r="B589" s="48"/>
    </row>
    <row r="590">
      <c r="B590" s="48"/>
    </row>
    <row r="591">
      <c r="B591" s="48"/>
    </row>
    <row r="592">
      <c r="B592" s="48"/>
    </row>
    <row r="593">
      <c r="B593" s="48"/>
    </row>
    <row r="594">
      <c r="B594" s="48"/>
    </row>
    <row r="595">
      <c r="B595" s="48"/>
    </row>
    <row r="596">
      <c r="B596" s="48"/>
    </row>
    <row r="597">
      <c r="B597" s="48"/>
    </row>
    <row r="598">
      <c r="B598" s="48"/>
    </row>
    <row r="599">
      <c r="B599" s="48"/>
    </row>
    <row r="600">
      <c r="B600" s="48"/>
    </row>
    <row r="601">
      <c r="B601" s="48"/>
    </row>
    <row r="602">
      <c r="B602" s="48"/>
    </row>
    <row r="603">
      <c r="B603" s="48"/>
    </row>
    <row r="604">
      <c r="B604" s="48"/>
    </row>
    <row r="605">
      <c r="B605" s="48"/>
    </row>
    <row r="606">
      <c r="B606" s="48"/>
    </row>
    <row r="607">
      <c r="B607" s="48"/>
    </row>
    <row r="608">
      <c r="B608" s="48"/>
    </row>
    <row r="609">
      <c r="B609" s="48"/>
    </row>
    <row r="610">
      <c r="B610" s="48"/>
    </row>
    <row r="611">
      <c r="B611" s="48"/>
    </row>
    <row r="612">
      <c r="B612" s="48"/>
    </row>
    <row r="613">
      <c r="B613" s="48"/>
    </row>
    <row r="614">
      <c r="B614" s="48"/>
    </row>
    <row r="615">
      <c r="B615" s="48"/>
    </row>
    <row r="616">
      <c r="B616" s="48"/>
    </row>
    <row r="617">
      <c r="B617" s="48"/>
    </row>
    <row r="618">
      <c r="B618" s="48"/>
    </row>
    <row r="619">
      <c r="B619" s="48"/>
    </row>
    <row r="620">
      <c r="B620" s="48"/>
    </row>
    <row r="621">
      <c r="B621" s="48"/>
    </row>
    <row r="622">
      <c r="B622" s="48"/>
    </row>
    <row r="623">
      <c r="B623" s="48"/>
    </row>
    <row r="624">
      <c r="B624" s="48"/>
    </row>
    <row r="625">
      <c r="B625" s="48"/>
    </row>
    <row r="626">
      <c r="B626" s="48"/>
    </row>
    <row r="627">
      <c r="B627" s="48"/>
    </row>
    <row r="628">
      <c r="B628" s="48"/>
    </row>
    <row r="629">
      <c r="B629" s="48"/>
    </row>
    <row r="630">
      <c r="B630" s="48"/>
    </row>
    <row r="631">
      <c r="B631" s="48"/>
    </row>
    <row r="632">
      <c r="B632" s="48"/>
    </row>
    <row r="633">
      <c r="B633" s="48"/>
    </row>
    <row r="634">
      <c r="B634" s="48"/>
    </row>
    <row r="635">
      <c r="B635" s="48"/>
    </row>
    <row r="636">
      <c r="B636" s="48"/>
    </row>
    <row r="637">
      <c r="B637" s="48"/>
    </row>
    <row r="638">
      <c r="B638" s="48"/>
    </row>
    <row r="639">
      <c r="B639" s="48"/>
    </row>
    <row r="640">
      <c r="B640" s="48"/>
    </row>
    <row r="641">
      <c r="B641" s="48"/>
    </row>
    <row r="642">
      <c r="B642" s="48"/>
    </row>
    <row r="643">
      <c r="B643" s="48"/>
    </row>
    <row r="644">
      <c r="B644" s="48"/>
    </row>
    <row r="645">
      <c r="B645" s="48"/>
    </row>
    <row r="646">
      <c r="B646" s="48"/>
    </row>
    <row r="647">
      <c r="B647" s="48"/>
    </row>
    <row r="648">
      <c r="B648" s="48"/>
    </row>
    <row r="649">
      <c r="B649" s="48"/>
    </row>
    <row r="650">
      <c r="B650" s="48"/>
    </row>
    <row r="651">
      <c r="B651" s="48"/>
    </row>
    <row r="652">
      <c r="B652" s="48"/>
    </row>
    <row r="653">
      <c r="B653" s="48"/>
    </row>
    <row r="654">
      <c r="B654" s="48"/>
    </row>
    <row r="655">
      <c r="B655" s="48"/>
    </row>
    <row r="656">
      <c r="B656" s="48"/>
    </row>
    <row r="657">
      <c r="B657" s="48"/>
    </row>
    <row r="658">
      <c r="B658" s="48"/>
    </row>
    <row r="659">
      <c r="B659" s="48"/>
    </row>
    <row r="660">
      <c r="B660" s="48"/>
    </row>
    <row r="661">
      <c r="B661" s="48"/>
    </row>
    <row r="662">
      <c r="B662" s="48"/>
    </row>
    <row r="663">
      <c r="B663" s="48"/>
    </row>
    <row r="664">
      <c r="B664" s="48"/>
    </row>
    <row r="665">
      <c r="B665" s="48"/>
    </row>
    <row r="666">
      <c r="B666" s="48"/>
    </row>
    <row r="667">
      <c r="B667" s="48"/>
    </row>
    <row r="668">
      <c r="B668" s="48"/>
    </row>
    <row r="669">
      <c r="B669" s="48"/>
    </row>
    <row r="670">
      <c r="B670" s="48"/>
    </row>
    <row r="671">
      <c r="B671" s="48"/>
    </row>
    <row r="672">
      <c r="B672" s="48"/>
    </row>
    <row r="673">
      <c r="B673" s="48"/>
    </row>
    <row r="674">
      <c r="B674" s="48"/>
    </row>
    <row r="675">
      <c r="B675" s="48"/>
    </row>
    <row r="676">
      <c r="B676" s="48"/>
    </row>
    <row r="677">
      <c r="B677" s="48"/>
    </row>
    <row r="678">
      <c r="B678" s="48"/>
    </row>
    <row r="679">
      <c r="B679" s="48"/>
    </row>
    <row r="680">
      <c r="B680" s="48"/>
    </row>
    <row r="681">
      <c r="B681" s="48"/>
    </row>
    <row r="682">
      <c r="B682" s="48"/>
    </row>
    <row r="683">
      <c r="B683" s="48"/>
    </row>
    <row r="684">
      <c r="B684" s="48"/>
    </row>
    <row r="685">
      <c r="B685" s="48"/>
    </row>
    <row r="686">
      <c r="B686" s="48"/>
    </row>
    <row r="687">
      <c r="B687" s="48"/>
    </row>
    <row r="688">
      <c r="B688" s="48"/>
    </row>
    <row r="689">
      <c r="B689" s="48"/>
    </row>
    <row r="690">
      <c r="B690" s="48"/>
    </row>
    <row r="691">
      <c r="B691" s="48"/>
    </row>
    <row r="692">
      <c r="B692" s="48"/>
    </row>
    <row r="693">
      <c r="B693" s="48"/>
    </row>
    <row r="694">
      <c r="B694" s="48"/>
    </row>
    <row r="695">
      <c r="B695" s="48"/>
    </row>
    <row r="696">
      <c r="B696" s="48"/>
    </row>
    <row r="697">
      <c r="B697" s="48"/>
    </row>
    <row r="698">
      <c r="B698" s="48"/>
    </row>
    <row r="699">
      <c r="B699" s="48"/>
    </row>
    <row r="700">
      <c r="B700" s="48"/>
    </row>
    <row r="701">
      <c r="B701" s="48"/>
    </row>
    <row r="702">
      <c r="B702" s="48"/>
    </row>
    <row r="703">
      <c r="B703" s="48"/>
    </row>
    <row r="704">
      <c r="B704" s="48"/>
    </row>
    <row r="705">
      <c r="B705" s="48"/>
    </row>
    <row r="706">
      <c r="B706" s="48"/>
    </row>
    <row r="707">
      <c r="B707" s="48"/>
    </row>
    <row r="708">
      <c r="B708" s="48"/>
    </row>
    <row r="709">
      <c r="B709" s="48"/>
    </row>
    <row r="710">
      <c r="B710" s="48"/>
    </row>
    <row r="711">
      <c r="B711" s="48"/>
    </row>
    <row r="712">
      <c r="B712" s="48"/>
    </row>
    <row r="713">
      <c r="B713" s="48"/>
    </row>
    <row r="714">
      <c r="B714" s="48"/>
    </row>
    <row r="715">
      <c r="B715" s="48"/>
    </row>
    <row r="716">
      <c r="B716" s="48"/>
    </row>
    <row r="717">
      <c r="B717" s="48"/>
    </row>
    <row r="718">
      <c r="B718" s="48"/>
    </row>
    <row r="719">
      <c r="B719" s="48"/>
    </row>
    <row r="720">
      <c r="B720" s="48"/>
    </row>
    <row r="721">
      <c r="B721" s="48"/>
    </row>
    <row r="722">
      <c r="B722" s="48"/>
    </row>
    <row r="723">
      <c r="B723" s="48"/>
    </row>
    <row r="724">
      <c r="B724" s="48"/>
    </row>
    <row r="725">
      <c r="B725" s="48"/>
    </row>
    <row r="726">
      <c r="B726" s="48"/>
    </row>
    <row r="727">
      <c r="B727" s="48"/>
    </row>
    <row r="728">
      <c r="B728" s="48"/>
    </row>
    <row r="729">
      <c r="B729" s="48"/>
    </row>
    <row r="730">
      <c r="B730" s="48"/>
    </row>
    <row r="731">
      <c r="B731" s="48"/>
    </row>
    <row r="732">
      <c r="B732" s="48"/>
    </row>
    <row r="733">
      <c r="B733" s="48"/>
    </row>
    <row r="734">
      <c r="B734" s="48"/>
    </row>
    <row r="735">
      <c r="B735" s="48"/>
    </row>
    <row r="736">
      <c r="B736" s="48"/>
    </row>
    <row r="737">
      <c r="B737" s="48"/>
    </row>
    <row r="738">
      <c r="B738" s="48"/>
    </row>
    <row r="739">
      <c r="B739" s="48"/>
    </row>
    <row r="740">
      <c r="B740" s="48"/>
    </row>
    <row r="741">
      <c r="B741" s="48"/>
    </row>
    <row r="742">
      <c r="B742" s="48"/>
    </row>
    <row r="743">
      <c r="B743" s="48"/>
    </row>
    <row r="744">
      <c r="B744" s="48"/>
    </row>
    <row r="745">
      <c r="B745" s="48"/>
    </row>
    <row r="746">
      <c r="B746" s="48"/>
    </row>
    <row r="747">
      <c r="B747" s="48"/>
    </row>
    <row r="748">
      <c r="B748" s="48"/>
    </row>
    <row r="749">
      <c r="B749" s="48"/>
    </row>
    <row r="750">
      <c r="B750" s="48"/>
    </row>
    <row r="751">
      <c r="B751" s="48"/>
    </row>
    <row r="752">
      <c r="B752" s="48"/>
    </row>
    <row r="753">
      <c r="B753" s="48"/>
    </row>
    <row r="754">
      <c r="B754" s="48"/>
    </row>
    <row r="755">
      <c r="B755" s="48"/>
    </row>
    <row r="756">
      <c r="B756" s="48"/>
    </row>
    <row r="757">
      <c r="B757" s="48"/>
    </row>
    <row r="758">
      <c r="B758" s="48"/>
    </row>
    <row r="759">
      <c r="B759" s="48"/>
    </row>
    <row r="760">
      <c r="B760" s="48"/>
    </row>
    <row r="761">
      <c r="B761" s="48"/>
    </row>
    <row r="762">
      <c r="B762" s="48"/>
    </row>
    <row r="763">
      <c r="B763" s="48"/>
    </row>
    <row r="764">
      <c r="B764" s="48"/>
    </row>
    <row r="765">
      <c r="B765" s="48"/>
    </row>
    <row r="766">
      <c r="B766" s="48"/>
    </row>
    <row r="767">
      <c r="B767" s="48"/>
    </row>
    <row r="768">
      <c r="B768" s="48"/>
    </row>
    <row r="769">
      <c r="B769" s="48"/>
    </row>
    <row r="770">
      <c r="B770" s="48"/>
    </row>
    <row r="771">
      <c r="B771" s="48"/>
    </row>
    <row r="772">
      <c r="B772" s="48"/>
    </row>
    <row r="773">
      <c r="B773" s="48"/>
    </row>
    <row r="774">
      <c r="B774" s="48"/>
    </row>
    <row r="775">
      <c r="B775" s="48"/>
    </row>
    <row r="776">
      <c r="B776" s="48"/>
    </row>
    <row r="777">
      <c r="B777" s="48"/>
    </row>
    <row r="778">
      <c r="B778" s="48"/>
    </row>
    <row r="779">
      <c r="B779" s="48"/>
    </row>
    <row r="780">
      <c r="B780" s="48"/>
    </row>
    <row r="781">
      <c r="B781" s="48"/>
    </row>
    <row r="782">
      <c r="B782" s="48"/>
    </row>
    <row r="783">
      <c r="B783" s="48"/>
    </row>
    <row r="784">
      <c r="B784" s="48"/>
    </row>
    <row r="785">
      <c r="B785" s="48"/>
    </row>
    <row r="786">
      <c r="B786" s="48"/>
    </row>
    <row r="787">
      <c r="B787" s="48"/>
    </row>
    <row r="788">
      <c r="B788" s="48"/>
    </row>
    <row r="789">
      <c r="B789" s="48"/>
    </row>
    <row r="790">
      <c r="B790" s="48"/>
    </row>
    <row r="791">
      <c r="B791" s="48"/>
    </row>
    <row r="792">
      <c r="B792" s="48"/>
    </row>
    <row r="793">
      <c r="B793" s="48"/>
    </row>
    <row r="794">
      <c r="B794" s="48"/>
    </row>
    <row r="795">
      <c r="B795" s="48"/>
    </row>
    <row r="796">
      <c r="B796" s="48"/>
    </row>
    <row r="797">
      <c r="B797" s="48"/>
    </row>
    <row r="798">
      <c r="B798" s="48"/>
    </row>
    <row r="799">
      <c r="B799" s="48"/>
    </row>
    <row r="800">
      <c r="B800" s="48"/>
    </row>
    <row r="801">
      <c r="B801" s="48"/>
    </row>
    <row r="802">
      <c r="B802" s="48"/>
    </row>
    <row r="803">
      <c r="B803" s="48"/>
    </row>
    <row r="804">
      <c r="B804" s="48"/>
    </row>
    <row r="805">
      <c r="B805" s="48"/>
    </row>
    <row r="806">
      <c r="B806" s="48"/>
    </row>
    <row r="807">
      <c r="B807" s="48"/>
    </row>
    <row r="808">
      <c r="B808" s="48"/>
    </row>
    <row r="809">
      <c r="B809" s="48"/>
    </row>
    <row r="810">
      <c r="B810" s="48"/>
    </row>
    <row r="811">
      <c r="B811" s="48"/>
    </row>
    <row r="812">
      <c r="B812" s="48"/>
    </row>
    <row r="813">
      <c r="B813" s="48"/>
    </row>
    <row r="814">
      <c r="B814" s="48"/>
    </row>
    <row r="815">
      <c r="B815" s="48"/>
    </row>
    <row r="816">
      <c r="B816" s="48"/>
    </row>
    <row r="817">
      <c r="B817" s="48"/>
    </row>
    <row r="818">
      <c r="B818" s="48"/>
    </row>
    <row r="819">
      <c r="B819" s="48"/>
    </row>
    <row r="820">
      <c r="B820" s="48"/>
    </row>
    <row r="821">
      <c r="B821" s="48"/>
    </row>
    <row r="822">
      <c r="B822" s="48"/>
    </row>
    <row r="823">
      <c r="B823" s="48"/>
    </row>
    <row r="824">
      <c r="B824" s="48"/>
    </row>
    <row r="825">
      <c r="B825" s="48"/>
    </row>
    <row r="826">
      <c r="B826" s="48"/>
    </row>
    <row r="827">
      <c r="B827" s="48"/>
    </row>
    <row r="828">
      <c r="B828" s="48"/>
    </row>
    <row r="829">
      <c r="B829" s="48"/>
    </row>
    <row r="830">
      <c r="B830" s="48"/>
    </row>
    <row r="831">
      <c r="B831" s="48"/>
    </row>
    <row r="832">
      <c r="B832" s="48"/>
    </row>
    <row r="833">
      <c r="B833" s="48"/>
    </row>
    <row r="834">
      <c r="B834" s="48"/>
    </row>
    <row r="835">
      <c r="B835" s="48"/>
    </row>
    <row r="836">
      <c r="B836" s="48"/>
    </row>
    <row r="837">
      <c r="B837" s="48"/>
    </row>
    <row r="838">
      <c r="B838" s="48"/>
    </row>
    <row r="839">
      <c r="B839" s="48"/>
    </row>
    <row r="840">
      <c r="B840" s="48"/>
    </row>
    <row r="841">
      <c r="B841" s="48"/>
    </row>
    <row r="842">
      <c r="B842" s="48"/>
    </row>
    <row r="843">
      <c r="B843" s="48"/>
    </row>
    <row r="844">
      <c r="B844" s="48"/>
    </row>
    <row r="845">
      <c r="B845" s="48"/>
    </row>
    <row r="846">
      <c r="B846" s="48"/>
    </row>
    <row r="847">
      <c r="B847" s="48"/>
    </row>
    <row r="848">
      <c r="B848" s="48"/>
    </row>
    <row r="849">
      <c r="B849" s="48"/>
    </row>
    <row r="850">
      <c r="B850" s="48"/>
    </row>
    <row r="851">
      <c r="B851" s="48"/>
    </row>
    <row r="852">
      <c r="B852" s="48"/>
    </row>
    <row r="853">
      <c r="B853" s="48"/>
    </row>
    <row r="854">
      <c r="B854" s="48"/>
    </row>
    <row r="855">
      <c r="B855" s="48"/>
    </row>
    <row r="856">
      <c r="B856" s="48"/>
    </row>
    <row r="857">
      <c r="B857" s="48"/>
    </row>
    <row r="858">
      <c r="B858" s="48"/>
    </row>
    <row r="859">
      <c r="B859" s="48"/>
    </row>
    <row r="860">
      <c r="B860" s="48"/>
    </row>
    <row r="861">
      <c r="B861" s="48"/>
    </row>
    <row r="862">
      <c r="B862" s="48"/>
    </row>
    <row r="863">
      <c r="B863" s="48"/>
    </row>
    <row r="864">
      <c r="B864" s="48"/>
    </row>
    <row r="865">
      <c r="B865" s="48"/>
    </row>
    <row r="866">
      <c r="B866" s="48"/>
    </row>
    <row r="867">
      <c r="B867" s="48"/>
    </row>
    <row r="868">
      <c r="B868" s="48"/>
    </row>
    <row r="869">
      <c r="B869" s="48"/>
    </row>
    <row r="870">
      <c r="B870" s="48"/>
    </row>
    <row r="871">
      <c r="B871" s="48"/>
    </row>
    <row r="872">
      <c r="B872" s="48"/>
    </row>
    <row r="873">
      <c r="B873" s="48"/>
    </row>
    <row r="874">
      <c r="B874" s="48"/>
    </row>
    <row r="875">
      <c r="B875" s="48"/>
    </row>
    <row r="876">
      <c r="B876" s="48"/>
    </row>
    <row r="877">
      <c r="B877" s="48"/>
    </row>
    <row r="878">
      <c r="B878" s="48"/>
    </row>
    <row r="879">
      <c r="B879" s="48"/>
    </row>
    <row r="880">
      <c r="B880" s="48"/>
    </row>
    <row r="881">
      <c r="B881" s="48"/>
    </row>
    <row r="882">
      <c r="B882" s="48"/>
    </row>
    <row r="883">
      <c r="B883" s="48"/>
    </row>
    <row r="884">
      <c r="B884" s="48"/>
    </row>
    <row r="885">
      <c r="B885" s="48"/>
    </row>
    <row r="886">
      <c r="B886" s="48"/>
    </row>
    <row r="887">
      <c r="B887" s="48"/>
    </row>
    <row r="888">
      <c r="B888" s="48"/>
    </row>
    <row r="889">
      <c r="B889" s="48"/>
    </row>
    <row r="890">
      <c r="B890" s="48"/>
    </row>
    <row r="891">
      <c r="B891" s="48"/>
    </row>
    <row r="892">
      <c r="B892" s="48"/>
    </row>
    <row r="893">
      <c r="B893" s="48"/>
    </row>
    <row r="894">
      <c r="B894" s="48"/>
    </row>
    <row r="895">
      <c r="B895" s="48"/>
    </row>
    <row r="896">
      <c r="B896" s="48"/>
    </row>
    <row r="897">
      <c r="B897" s="48"/>
    </row>
    <row r="898">
      <c r="B898" s="48"/>
    </row>
    <row r="899">
      <c r="B899" s="48"/>
    </row>
    <row r="900">
      <c r="B900" s="48"/>
    </row>
    <row r="901">
      <c r="B901" s="48"/>
    </row>
    <row r="902">
      <c r="B902" s="48"/>
    </row>
    <row r="903">
      <c r="B903" s="48"/>
    </row>
    <row r="904">
      <c r="B904" s="48"/>
    </row>
    <row r="905">
      <c r="B905" s="48"/>
    </row>
    <row r="906">
      <c r="B906" s="48"/>
    </row>
    <row r="907">
      <c r="B907" s="48"/>
    </row>
    <row r="908">
      <c r="B908" s="48"/>
    </row>
    <row r="909">
      <c r="B909" s="48"/>
    </row>
    <row r="910">
      <c r="B910" s="48"/>
    </row>
    <row r="911">
      <c r="B911" s="48"/>
    </row>
    <row r="912">
      <c r="B912" s="48"/>
    </row>
    <row r="913">
      <c r="B913" s="48"/>
    </row>
    <row r="914">
      <c r="B914" s="48"/>
    </row>
    <row r="915">
      <c r="B915" s="48"/>
    </row>
    <row r="916">
      <c r="B916" s="48"/>
    </row>
    <row r="917">
      <c r="B917" s="48"/>
    </row>
    <row r="918">
      <c r="B918" s="48"/>
    </row>
    <row r="919">
      <c r="B919" s="48"/>
    </row>
    <row r="920">
      <c r="B920" s="48"/>
    </row>
    <row r="921">
      <c r="B921" s="48"/>
    </row>
    <row r="922">
      <c r="B922" s="48"/>
    </row>
    <row r="923">
      <c r="B923" s="48"/>
    </row>
    <row r="924">
      <c r="B924" s="48"/>
    </row>
    <row r="925">
      <c r="B925" s="48"/>
    </row>
    <row r="926">
      <c r="B926" s="48"/>
    </row>
    <row r="927">
      <c r="B927" s="48"/>
    </row>
    <row r="928">
      <c r="B928" s="48"/>
    </row>
    <row r="929">
      <c r="B929" s="48"/>
    </row>
    <row r="930">
      <c r="B930" s="48"/>
    </row>
    <row r="931">
      <c r="B931" s="48"/>
    </row>
    <row r="932">
      <c r="B932" s="48"/>
    </row>
    <row r="933">
      <c r="B933" s="48"/>
    </row>
    <row r="934">
      <c r="B934" s="48"/>
    </row>
    <row r="935">
      <c r="B935" s="48"/>
    </row>
    <row r="936">
      <c r="B936" s="48"/>
    </row>
    <row r="937">
      <c r="B937" s="48"/>
    </row>
    <row r="938">
      <c r="B938" s="48"/>
    </row>
    <row r="939">
      <c r="B939" s="48"/>
    </row>
    <row r="940">
      <c r="B940" s="48"/>
    </row>
    <row r="941">
      <c r="B941" s="48"/>
    </row>
    <row r="942">
      <c r="B942" s="48"/>
    </row>
    <row r="943">
      <c r="B943" s="48"/>
    </row>
    <row r="944">
      <c r="B944" s="48"/>
    </row>
    <row r="945">
      <c r="B945" s="48"/>
    </row>
    <row r="946">
      <c r="B946" s="48"/>
    </row>
    <row r="947">
      <c r="B947" s="48"/>
    </row>
    <row r="948">
      <c r="B948" s="48"/>
    </row>
    <row r="949">
      <c r="B949" s="48"/>
    </row>
    <row r="950">
      <c r="B950" s="48"/>
    </row>
    <row r="951">
      <c r="B951" s="48"/>
    </row>
    <row r="952">
      <c r="B952" s="48"/>
    </row>
    <row r="953">
      <c r="B953" s="48"/>
    </row>
    <row r="954">
      <c r="B954" s="48"/>
    </row>
    <row r="955">
      <c r="B955" s="48"/>
    </row>
    <row r="956">
      <c r="B956" s="48"/>
    </row>
    <row r="957">
      <c r="B957" s="48"/>
    </row>
    <row r="958">
      <c r="B958" s="48"/>
    </row>
    <row r="959">
      <c r="B959" s="48"/>
    </row>
    <row r="960">
      <c r="B960" s="48"/>
    </row>
    <row r="961">
      <c r="B961" s="48"/>
    </row>
    <row r="962">
      <c r="B962" s="48"/>
    </row>
    <row r="963">
      <c r="B963" s="48"/>
    </row>
    <row r="964">
      <c r="B964" s="48"/>
    </row>
    <row r="965">
      <c r="B965" s="48"/>
    </row>
    <row r="966">
      <c r="B966" s="48"/>
    </row>
    <row r="967">
      <c r="B967" s="48"/>
    </row>
    <row r="968">
      <c r="B968" s="48"/>
    </row>
    <row r="969">
      <c r="B969" s="48"/>
    </row>
    <row r="970">
      <c r="B970" s="48"/>
    </row>
    <row r="971">
      <c r="B971" s="48"/>
    </row>
    <row r="972">
      <c r="B972" s="48"/>
    </row>
    <row r="973">
      <c r="B973" s="48"/>
    </row>
    <row r="974">
      <c r="B974" s="48"/>
    </row>
    <row r="975">
      <c r="B975" s="48"/>
    </row>
    <row r="976">
      <c r="B976" s="48"/>
    </row>
    <row r="977">
      <c r="B977" s="48"/>
    </row>
    <row r="978">
      <c r="B978" s="48"/>
    </row>
    <row r="979">
      <c r="B979" s="48"/>
    </row>
    <row r="980">
      <c r="B980" s="48"/>
    </row>
    <row r="981">
      <c r="B981" s="48"/>
    </row>
    <row r="982">
      <c r="B982" s="48"/>
    </row>
    <row r="983">
      <c r="B983" s="48"/>
    </row>
    <row r="984">
      <c r="B984" s="48"/>
    </row>
    <row r="985">
      <c r="B985" s="48"/>
    </row>
    <row r="986">
      <c r="B986" s="48"/>
    </row>
    <row r="987">
      <c r="B987" s="48"/>
    </row>
    <row r="988">
      <c r="B988" s="48"/>
    </row>
    <row r="989">
      <c r="B989" s="48"/>
    </row>
    <row r="990">
      <c r="B990" s="48"/>
    </row>
    <row r="991">
      <c r="B991" s="48"/>
    </row>
    <row r="992">
      <c r="B992" s="48"/>
    </row>
    <row r="993">
      <c r="B993" s="48"/>
    </row>
    <row r="994">
      <c r="B994" s="48"/>
    </row>
    <row r="995">
      <c r="B995" s="48"/>
    </row>
    <row r="996">
      <c r="B996" s="48"/>
    </row>
    <row r="997">
      <c r="B997" s="48"/>
    </row>
    <row r="998">
      <c r="B998" s="48"/>
    </row>
    <row r="999">
      <c r="B999" s="48"/>
    </row>
    <row r="1000">
      <c r="B1000" s="4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 t="s">
        <v>106</v>
      </c>
      <c r="I1" s="1" t="s">
        <v>107</v>
      </c>
    </row>
    <row r="2">
      <c r="A2" s="7" t="s">
        <v>93</v>
      </c>
      <c r="B2" s="7" t="s">
        <v>108</v>
      </c>
      <c r="C2" s="67">
        <f t="shared" ref="C2:C6" si="1">COUNTIF(I:I,A2)</f>
        <v>1</v>
      </c>
      <c r="D2" s="17">
        <f t="shared" ref="D2:D6" si="2">C2/COUNTA(I$2:I1000)</f>
        <v>0.03448275862</v>
      </c>
      <c r="E2" s="67">
        <v>1.623502899E9</v>
      </c>
      <c r="F2" s="68">
        <f>IFERROR(__xludf.DUMMYFUNCTION("INDEX(SPLIT(E2, char(10)), 0, 1)/86400+date(1970,1,1)"),44359.5428125)</f>
        <v>44359.54281</v>
      </c>
      <c r="G2" s="7" t="s">
        <v>109</v>
      </c>
      <c r="H2" s="69" t="s">
        <v>110</v>
      </c>
      <c r="I2" s="7" t="s">
        <v>11</v>
      </c>
    </row>
    <row r="3">
      <c r="A3" s="7" t="s">
        <v>11</v>
      </c>
      <c r="B3" s="7" t="s">
        <v>111</v>
      </c>
      <c r="C3" s="67">
        <f t="shared" si="1"/>
        <v>6</v>
      </c>
      <c r="D3" s="17">
        <f t="shared" si="2"/>
        <v>0.2068965517</v>
      </c>
      <c r="E3" s="67">
        <v>1.623503118E9</v>
      </c>
      <c r="F3" s="68">
        <f>IFERROR(__xludf.DUMMYFUNCTION("INDEX(SPLIT(E3, char(10)), 0, 1)/86400+date(1970,1,1)"),44359.54534722222)</f>
        <v>44359.54535</v>
      </c>
      <c r="G3" s="7" t="s">
        <v>112</v>
      </c>
      <c r="H3" s="69" t="s">
        <v>113</v>
      </c>
      <c r="I3" s="7" t="s">
        <v>11</v>
      </c>
    </row>
    <row r="4">
      <c r="A4" s="7" t="s">
        <v>12</v>
      </c>
      <c r="B4" s="7" t="s">
        <v>114</v>
      </c>
      <c r="C4" s="67">
        <f t="shared" si="1"/>
        <v>3</v>
      </c>
      <c r="D4" s="17">
        <f t="shared" si="2"/>
        <v>0.1034482759</v>
      </c>
      <c r="E4" s="67">
        <v>1.623503802E9</v>
      </c>
      <c r="F4" s="68">
        <f>IFERROR(__xludf.DUMMYFUNCTION("INDEX(SPLIT(E4, char(10)), 0, 1)/86400+date(1970,1,1)"),44359.55326388888)</f>
        <v>44359.55326</v>
      </c>
      <c r="G4" s="7" t="s">
        <v>115</v>
      </c>
      <c r="H4" s="7" t="s">
        <v>116</v>
      </c>
      <c r="I4" s="7" t="s">
        <v>14</v>
      </c>
    </row>
    <row r="5">
      <c r="A5" s="7" t="s">
        <v>13</v>
      </c>
      <c r="B5" s="7" t="s">
        <v>117</v>
      </c>
      <c r="C5" s="67">
        <f t="shared" si="1"/>
        <v>8</v>
      </c>
      <c r="D5" s="17">
        <f t="shared" si="2"/>
        <v>0.275862069</v>
      </c>
      <c r="E5" s="67">
        <v>1.623504549E9</v>
      </c>
      <c r="F5" s="68">
        <f>IFERROR(__xludf.DUMMYFUNCTION("INDEX(SPLIT(E5, char(10)), 0, 1)/86400+date(1970,1,1)"),44359.56190972222)</f>
        <v>44359.56191</v>
      </c>
      <c r="G5" s="7" t="s">
        <v>118</v>
      </c>
      <c r="H5" s="7" t="s">
        <v>119</v>
      </c>
      <c r="I5" s="7" t="s">
        <v>14</v>
      </c>
    </row>
    <row r="6">
      <c r="A6" s="7" t="s">
        <v>14</v>
      </c>
      <c r="B6" s="7" t="s">
        <v>120</v>
      </c>
      <c r="C6" s="67">
        <f t="shared" si="1"/>
        <v>11</v>
      </c>
      <c r="D6" s="17">
        <f t="shared" si="2"/>
        <v>0.3793103448</v>
      </c>
      <c r="E6" s="67">
        <v>1.623504718E9</v>
      </c>
      <c r="F6" s="68">
        <f>IFERROR(__xludf.DUMMYFUNCTION("INDEX(SPLIT(E6, char(10)), 0, 1)/86400+date(1970,1,1)"),44359.56386574074)</f>
        <v>44359.56387</v>
      </c>
      <c r="G6" s="7" t="s">
        <v>121</v>
      </c>
      <c r="H6" s="7" t="s">
        <v>122</v>
      </c>
      <c r="I6" s="7" t="s">
        <v>14</v>
      </c>
    </row>
    <row r="7">
      <c r="A7" s="5"/>
      <c r="B7" s="7" t="s">
        <v>10</v>
      </c>
      <c r="C7" s="23">
        <f t="shared" ref="C7:D7" si="3">SUM(C2:C6)</f>
        <v>29</v>
      </c>
      <c r="D7" s="70">
        <f t="shared" si="3"/>
        <v>1</v>
      </c>
      <c r="E7" s="67">
        <v>1.623504872E9</v>
      </c>
      <c r="F7" s="68">
        <f>IFERROR(__xludf.DUMMYFUNCTION("INDEX(SPLIT(E7, char(10)), 0, 1)/86400+date(1970,1,1)"),44359.56564814815)</f>
        <v>44359.56565</v>
      </c>
      <c r="G7" s="7" t="s">
        <v>123</v>
      </c>
      <c r="H7" s="7" t="s">
        <v>124</v>
      </c>
      <c r="I7" s="7" t="s">
        <v>14</v>
      </c>
    </row>
    <row r="8">
      <c r="A8" s="71"/>
      <c r="B8" s="7" t="s">
        <v>15</v>
      </c>
      <c r="C8" s="67">
        <f t="shared" ref="C8:D8" si="4">SUM(C5:C6)</f>
        <v>19</v>
      </c>
      <c r="D8" s="17">
        <f t="shared" si="4"/>
        <v>0.6551724138</v>
      </c>
      <c r="E8" s="67">
        <v>1.623504981E9</v>
      </c>
      <c r="F8" s="68">
        <f>IFERROR(__xludf.DUMMYFUNCTION("INDEX(SPLIT(E8, char(10)), 0, 1)/86400+date(1970,1,1)"),44359.56690972223)</f>
        <v>44359.56691</v>
      </c>
      <c r="G8" s="7" t="s">
        <v>125</v>
      </c>
      <c r="H8" s="69" t="s">
        <v>126</v>
      </c>
      <c r="I8" s="7" t="s">
        <v>12</v>
      </c>
    </row>
    <row r="9">
      <c r="A9" s="71"/>
      <c r="B9" s="7" t="s">
        <v>127</v>
      </c>
      <c r="C9" s="67">
        <f>SUM(C6:C7)</f>
        <v>40</v>
      </c>
      <c r="D9" s="17">
        <f>SUM(D5:D6) + D2</f>
        <v>0.6896551724</v>
      </c>
      <c r="E9" s="67">
        <v>1.623505519E9</v>
      </c>
      <c r="F9" s="68">
        <f>IFERROR(__xludf.DUMMYFUNCTION("INDEX(SPLIT(E9, char(10)), 0, 1)/86400+date(1970,1,1)"),44359.57313657408)</f>
        <v>44359.57314</v>
      </c>
      <c r="G9" s="7" t="s">
        <v>128</v>
      </c>
      <c r="H9" s="69" t="s">
        <v>129</v>
      </c>
      <c r="I9" s="7" t="s">
        <v>11</v>
      </c>
    </row>
    <row r="10">
      <c r="A10" s="71"/>
      <c r="B10" s="71"/>
      <c r="C10" s="71"/>
      <c r="D10" s="71"/>
      <c r="E10" s="67">
        <v>1.623505672E9</v>
      </c>
      <c r="F10" s="68">
        <f>IFERROR(__xludf.DUMMYFUNCTION("INDEX(SPLIT(E10, char(10)), 0, 1)/86400+date(1970,1,1)"),44359.57490740741)</f>
        <v>44359.57491</v>
      </c>
      <c r="G10" s="7" t="s">
        <v>130</v>
      </c>
      <c r="H10" s="7" t="s">
        <v>131</v>
      </c>
      <c r="I10" s="7" t="s">
        <v>14</v>
      </c>
    </row>
    <row r="11">
      <c r="A11" s="71"/>
      <c r="B11" s="71"/>
      <c r="C11" s="71"/>
      <c r="D11" s="71"/>
      <c r="E11" s="67">
        <v>1.623505763E9</v>
      </c>
      <c r="F11" s="68">
        <f>IFERROR(__xludf.DUMMYFUNCTION("INDEX(SPLIT(E11, char(10)), 0, 1)/86400+date(1970,1,1)"),44359.575960648144)</f>
        <v>44359.57596</v>
      </c>
      <c r="G11" s="7" t="s">
        <v>132</v>
      </c>
      <c r="H11" s="7" t="s">
        <v>133</v>
      </c>
      <c r="I11" s="7" t="s">
        <v>14</v>
      </c>
    </row>
    <row r="12">
      <c r="A12" s="1" t="s">
        <v>134</v>
      </c>
      <c r="B12" s="72" t="s">
        <v>135</v>
      </c>
      <c r="C12" s="71"/>
      <c r="D12" s="71"/>
      <c r="E12" s="67">
        <v>1.623506858E9</v>
      </c>
      <c r="F12" s="68">
        <f>IFERROR(__xludf.DUMMYFUNCTION("INDEX(SPLIT(E12, char(10)), 0, 1)/86400+date(1970,1,1)"),44359.58863425926)</f>
        <v>44359.58863</v>
      </c>
      <c r="G12" s="7" t="s">
        <v>136</v>
      </c>
      <c r="H12" s="73" t="s">
        <v>137</v>
      </c>
      <c r="I12" s="7" t="s">
        <v>13</v>
      </c>
    </row>
    <row r="13">
      <c r="A13" s="1" t="s">
        <v>138</v>
      </c>
      <c r="B13" s="71"/>
      <c r="C13" s="1" t="s">
        <v>101</v>
      </c>
      <c r="D13" s="1" t="s">
        <v>102</v>
      </c>
      <c r="E13" s="67">
        <v>1.623506972E9</v>
      </c>
      <c r="F13" s="68">
        <f>IFERROR(__xludf.DUMMYFUNCTION("INDEX(SPLIT(E13, char(10)), 0, 1)/86400+date(1970,1,1)"),44359.589953703704)</f>
        <v>44359.58995</v>
      </c>
      <c r="G13" s="7" t="s">
        <v>139</v>
      </c>
      <c r="H13" s="73" t="s">
        <v>140</v>
      </c>
      <c r="I13" s="7" t="s">
        <v>13</v>
      </c>
    </row>
    <row r="14">
      <c r="A14" s="7" t="s">
        <v>141</v>
      </c>
      <c r="B14" s="7" t="s">
        <v>142</v>
      </c>
      <c r="C14" s="23">
        <f t="shared" ref="C14:C17" si="5">COUNTIF($A$19:$A1000, A14)</f>
        <v>3</v>
      </c>
      <c r="D14" s="17">
        <f>IFERROR(__xludf.DUMMYFUNCTION("IF(C14, COUNTIF(FILTER($D$20:$D1000, $A$20:$A1000=A14), TRUE)/C14, 0)"),1.0)</f>
        <v>1</v>
      </c>
      <c r="E14" s="67">
        <v>1.623507116E9</v>
      </c>
      <c r="F14" s="68">
        <f>IFERROR(__xludf.DUMMYFUNCTION("INDEX(SPLIT(E14, char(10)), 0, 1)/86400+date(1970,1,1)"),44359.59162037037)</f>
        <v>44359.59162</v>
      </c>
      <c r="G14" s="7" t="s">
        <v>143</v>
      </c>
      <c r="H14" s="7" t="s">
        <v>144</v>
      </c>
      <c r="I14" s="7" t="s">
        <v>14</v>
      </c>
    </row>
    <row r="15">
      <c r="A15" s="7" t="s">
        <v>3</v>
      </c>
      <c r="B15" s="7" t="s">
        <v>145</v>
      </c>
      <c r="C15" s="23">
        <f t="shared" si="5"/>
        <v>3</v>
      </c>
      <c r="D15" s="17">
        <f>IFERROR(__xludf.DUMMYFUNCTION("IF(C15, COUNTIF(FILTER($D$20:$D1000, $A$20:$A1000=A15), TRUE)/C15, 0)"),0.6666666666666666)</f>
        <v>0.6666666667</v>
      </c>
      <c r="E15" s="67">
        <v>1.623507215E9</v>
      </c>
      <c r="F15" s="68">
        <f>IFERROR(__xludf.DUMMYFUNCTION("INDEX(SPLIT(E15, char(10)), 0, 1)/86400+date(1970,1,1)"),44359.5927662037)</f>
        <v>44359.59277</v>
      </c>
      <c r="G15" s="7" t="s">
        <v>146</v>
      </c>
      <c r="H15" s="69" t="s">
        <v>147</v>
      </c>
      <c r="I15" s="7" t="s">
        <v>12</v>
      </c>
    </row>
    <row r="16">
      <c r="A16" s="7" t="s">
        <v>4</v>
      </c>
      <c r="B16" s="7" t="s">
        <v>148</v>
      </c>
      <c r="C16" s="23">
        <f t="shared" si="5"/>
        <v>4</v>
      </c>
      <c r="D16" s="17">
        <f>IFERROR(__xludf.DUMMYFUNCTION("IF(C16, COUNTIF(FILTER($D$20:$D1000, $A$20:$A1000=A16), TRUE)/C16, 0)"),0.25)</f>
        <v>0.25</v>
      </c>
      <c r="E16" s="67">
        <v>1.623507459E9</v>
      </c>
      <c r="F16" s="68">
        <f>IFERROR(__xludf.DUMMYFUNCTION("INDEX(SPLIT(E16, char(10)), 0, 1)/86400+date(1970,1,1)"),44359.59559027778)</f>
        <v>44359.59559</v>
      </c>
      <c r="G16" s="7" t="s">
        <v>149</v>
      </c>
      <c r="H16" s="69" t="s">
        <v>150</v>
      </c>
      <c r="I16" s="7" t="s">
        <v>12</v>
      </c>
    </row>
    <row r="17">
      <c r="A17" s="7" t="s">
        <v>5</v>
      </c>
      <c r="B17" s="7" t="s">
        <v>151</v>
      </c>
      <c r="C17" s="23">
        <f t="shared" si="5"/>
        <v>4</v>
      </c>
      <c r="D17" s="17">
        <f>IFERROR(__xludf.DUMMYFUNCTION("IF(C17, COUNTIF(FILTER($D$20:$D1000, $A$20:$A1000=A17), TRUE)/C17, 0)"),0.5)</f>
        <v>0.5</v>
      </c>
      <c r="E17" s="67">
        <v>1.623507632E9</v>
      </c>
      <c r="F17" s="68">
        <f>IFERROR(__xludf.DUMMYFUNCTION("INDEX(SPLIT(E17, char(10)), 0, 1)/86400+date(1970,1,1)"),44359.59759259259)</f>
        <v>44359.59759</v>
      </c>
      <c r="G17" s="7" t="s">
        <v>152</v>
      </c>
      <c r="H17" s="69" t="s">
        <v>153</v>
      </c>
      <c r="I17" s="7" t="s">
        <v>11</v>
      </c>
    </row>
    <row r="18">
      <c r="A18" s="71"/>
      <c r="B18" s="1" t="s">
        <v>6</v>
      </c>
      <c r="C18" s="23">
        <f>SUM(C14:C17)</f>
        <v>14</v>
      </c>
      <c r="D18" s="17">
        <f>COUNTIF($D$19:$D1000, TRUE)/SUM($C$14:$C$17)</f>
        <v>0.5714285714</v>
      </c>
      <c r="E18" s="67">
        <v>1.623507738E9</v>
      </c>
      <c r="F18" s="68">
        <f>IFERROR(__xludf.DUMMYFUNCTION("INDEX(SPLIT(E18, char(10)), 0, 1)/86400+date(1970,1,1)"),44359.59881944444)</f>
        <v>44359.59882</v>
      </c>
      <c r="G18" s="7" t="s">
        <v>154</v>
      </c>
      <c r="H18" s="73" t="s">
        <v>155</v>
      </c>
      <c r="I18" s="7" t="s">
        <v>13</v>
      </c>
    </row>
    <row r="19">
      <c r="A19" s="1" t="s">
        <v>107</v>
      </c>
      <c r="B19" s="1" t="s">
        <v>156</v>
      </c>
      <c r="C19" s="1" t="s">
        <v>157</v>
      </c>
      <c r="D19" s="1" t="s">
        <v>158</v>
      </c>
      <c r="E19" s="67">
        <v>1.623507959E9</v>
      </c>
      <c r="F19" s="68">
        <f>IFERROR(__xludf.DUMMYFUNCTION("INDEX(SPLIT(E19, char(10)), 0, 1)/86400+date(1970,1,1)"),44359.601377314815)</f>
        <v>44359.60138</v>
      </c>
      <c r="G19" s="7" t="s">
        <v>159</v>
      </c>
      <c r="H19" s="73" t="s">
        <v>160</v>
      </c>
      <c r="I19" s="7" t="s">
        <v>13</v>
      </c>
    </row>
    <row r="20">
      <c r="A20" s="7" t="s">
        <v>4</v>
      </c>
      <c r="B20" s="7" t="s">
        <v>161</v>
      </c>
      <c r="C20" s="67">
        <v>1.0</v>
      </c>
      <c r="D20" s="74" t="b">
        <v>0</v>
      </c>
      <c r="E20" s="67">
        <v>1.623508419E9</v>
      </c>
      <c r="F20" s="68">
        <f>IFERROR(__xludf.DUMMYFUNCTION("INDEX(SPLIT(E20, char(10)), 0, 1)/86400+date(1970,1,1)"),44359.60670138889)</f>
        <v>44359.6067</v>
      </c>
      <c r="G20" s="7" t="s">
        <v>162</v>
      </c>
      <c r="H20" s="73" t="s">
        <v>163</v>
      </c>
      <c r="I20" s="7" t="s">
        <v>13</v>
      </c>
    </row>
    <row r="21">
      <c r="A21" s="7" t="s">
        <v>3</v>
      </c>
      <c r="B21" s="7" t="s">
        <v>164</v>
      </c>
      <c r="C21" s="67">
        <v>30.0</v>
      </c>
      <c r="D21" s="74" t="b">
        <v>0</v>
      </c>
      <c r="E21" s="67">
        <v>1.623508509E9</v>
      </c>
      <c r="F21" s="68">
        <f>IFERROR(__xludf.DUMMYFUNCTION("INDEX(SPLIT(E21, char(10)), 0, 1)/86400+date(1970,1,1)"),44359.60774305556)</f>
        <v>44359.60774</v>
      </c>
      <c r="G21" s="7" t="s">
        <v>165</v>
      </c>
      <c r="H21" s="73" t="s">
        <v>166</v>
      </c>
      <c r="I21" s="7" t="s">
        <v>13</v>
      </c>
    </row>
    <row r="22">
      <c r="A22" s="7" t="s">
        <v>4</v>
      </c>
      <c r="B22" s="7" t="s">
        <v>167</v>
      </c>
      <c r="C22" s="67">
        <v>45.0</v>
      </c>
      <c r="D22" s="74" t="b">
        <v>0</v>
      </c>
      <c r="E22" s="67">
        <v>1.623508609E9</v>
      </c>
      <c r="F22" s="68">
        <f>IFERROR(__xludf.DUMMYFUNCTION("INDEX(SPLIT(E22, char(10)), 0, 1)/86400+date(1970,1,1)"),44359.60890046296)</f>
        <v>44359.6089</v>
      </c>
      <c r="G22" s="7" t="s">
        <v>168</v>
      </c>
      <c r="H22" s="69" t="s">
        <v>169</v>
      </c>
      <c r="I22" s="7" t="s">
        <v>11</v>
      </c>
    </row>
    <row r="23">
      <c r="A23" s="7" t="s">
        <v>4</v>
      </c>
      <c r="B23" s="7" t="s">
        <v>170</v>
      </c>
      <c r="C23" s="67">
        <v>45.0</v>
      </c>
      <c r="D23" s="74" t="b">
        <v>0</v>
      </c>
      <c r="E23" s="67">
        <v>1.62350874E9</v>
      </c>
      <c r="F23" s="68">
        <f>IFERROR(__xludf.DUMMYFUNCTION("INDEX(SPLIT(E23, char(10)), 0, 1)/86400+date(1970,1,1)"),44359.61041666666)</f>
        <v>44359.61042</v>
      </c>
      <c r="G23" s="7" t="s">
        <v>171</v>
      </c>
      <c r="H23" s="7" t="s">
        <v>172</v>
      </c>
      <c r="I23" s="7" t="s">
        <v>14</v>
      </c>
    </row>
    <row r="24">
      <c r="A24" s="7" t="s">
        <v>3</v>
      </c>
      <c r="B24" s="7" t="s">
        <v>173</v>
      </c>
      <c r="C24" s="67">
        <v>47.0</v>
      </c>
      <c r="D24" s="74" t="b">
        <v>1</v>
      </c>
      <c r="E24" s="67">
        <v>1.623508955E9</v>
      </c>
      <c r="F24" s="68">
        <f>IFERROR(__xludf.DUMMYFUNCTION("INDEX(SPLIT(E24, char(10)), 0, 1)/86400+date(1970,1,1)"),44359.612905092596)</f>
        <v>44359.61291</v>
      </c>
      <c r="G24" s="7" t="s">
        <v>174</v>
      </c>
      <c r="H24" s="7" t="s">
        <v>175</v>
      </c>
      <c r="I24" s="7" t="s">
        <v>14</v>
      </c>
    </row>
    <row r="25">
      <c r="A25" s="7" t="s">
        <v>141</v>
      </c>
      <c r="B25" s="71" t="s">
        <v>176</v>
      </c>
      <c r="C25" s="67">
        <v>49.0</v>
      </c>
      <c r="D25" s="74" t="b">
        <v>1</v>
      </c>
      <c r="E25" s="67">
        <v>1.623509047E9</v>
      </c>
      <c r="F25" s="68">
        <f>IFERROR(__xludf.DUMMYFUNCTION("INDEX(SPLIT(E25, char(10)), 0, 1)/86400+date(1970,1,1)"),44359.61396990741)</f>
        <v>44359.61397</v>
      </c>
      <c r="G25" s="7" t="s">
        <v>177</v>
      </c>
      <c r="H25" s="7" t="s">
        <v>178</v>
      </c>
      <c r="I25" s="7" t="s">
        <v>14</v>
      </c>
    </row>
    <row r="26">
      <c r="A26" s="7" t="s">
        <v>3</v>
      </c>
      <c r="B26" s="71" t="s">
        <v>179</v>
      </c>
      <c r="C26" s="67">
        <v>63.0</v>
      </c>
      <c r="D26" s="74" t="b">
        <v>1</v>
      </c>
      <c r="E26" s="67">
        <v>1.62350925E9</v>
      </c>
      <c r="F26" s="68">
        <f>IFERROR(__xludf.DUMMYFUNCTION("INDEX(SPLIT(E26, char(10)), 0, 1)/86400+date(1970,1,1)"),44359.616319444445)</f>
        <v>44359.61632</v>
      </c>
      <c r="G26" s="7" t="s">
        <v>180</v>
      </c>
      <c r="H26" s="73" t="s">
        <v>181</v>
      </c>
      <c r="I26" s="7" t="s">
        <v>13</v>
      </c>
    </row>
    <row r="27">
      <c r="A27" s="7" t="s">
        <v>5</v>
      </c>
      <c r="B27" s="71" t="s">
        <v>182</v>
      </c>
      <c r="C27" s="67">
        <v>66.0</v>
      </c>
      <c r="D27" s="74" t="b">
        <v>1</v>
      </c>
      <c r="E27" s="67">
        <v>1.623509385E9</v>
      </c>
      <c r="F27" s="68">
        <f>IFERROR(__xludf.DUMMYFUNCTION("INDEX(SPLIT(E27, char(10)), 0, 1)/86400+date(1970,1,1)"),44359.61788194445)</f>
        <v>44359.61788</v>
      </c>
      <c r="G27" s="7" t="s">
        <v>183</v>
      </c>
      <c r="H27" s="7" t="s">
        <v>184</v>
      </c>
      <c r="I27" s="7" t="s">
        <v>14</v>
      </c>
    </row>
    <row r="28">
      <c r="A28" s="7" t="s">
        <v>141</v>
      </c>
      <c r="B28" s="71" t="s">
        <v>173</v>
      </c>
      <c r="C28" s="67">
        <v>74.0</v>
      </c>
      <c r="D28" s="74" t="b">
        <v>1</v>
      </c>
      <c r="E28" s="67">
        <v>1.623509539E9</v>
      </c>
      <c r="F28" s="68">
        <f>IFERROR(__xludf.DUMMYFUNCTION("INDEX(SPLIT(E28, char(10)), 0, 1)/86400+date(1970,1,1)"),44359.61966435185)</f>
        <v>44359.61966</v>
      </c>
      <c r="G28" s="7" t="s">
        <v>185</v>
      </c>
      <c r="H28" s="69" t="s">
        <v>186</v>
      </c>
      <c r="I28" s="7" t="s">
        <v>93</v>
      </c>
    </row>
    <row r="29">
      <c r="A29" s="7" t="s">
        <v>5</v>
      </c>
      <c r="B29" s="71" t="s">
        <v>187</v>
      </c>
      <c r="C29" s="67">
        <v>75.0</v>
      </c>
      <c r="D29" s="74" t="b">
        <v>1</v>
      </c>
      <c r="E29" s="75">
        <v>1.623509644E9</v>
      </c>
      <c r="F29" s="68">
        <f>IFERROR(__xludf.DUMMYFUNCTION("INDEX(SPLIT(E29, char(10)), 0, 1)/86400+date(1970,1,1)"),44359.62087962963)</f>
        <v>44359.62088</v>
      </c>
      <c r="G29" s="7" t="s">
        <v>188</v>
      </c>
      <c r="H29" s="69" t="s">
        <v>189</v>
      </c>
      <c r="I29" s="7" t="s">
        <v>11</v>
      </c>
    </row>
    <row r="30">
      <c r="A30" s="7" t="s">
        <v>5</v>
      </c>
      <c r="B30" s="71" t="s">
        <v>190</v>
      </c>
      <c r="C30" s="67">
        <v>84.0</v>
      </c>
      <c r="D30" s="74" t="b">
        <v>0</v>
      </c>
      <c r="E30" s="68">
        <v>1.623509779E9</v>
      </c>
      <c r="F30" s="68">
        <f>IFERROR(__xludf.DUMMYFUNCTION("INDEX(SPLIT(E30, char(10)), 0, 1)/86400+date(1970,1,1)"),44359.62244212963)</f>
        <v>44359.62244</v>
      </c>
      <c r="G30" s="7" t="s">
        <v>191</v>
      </c>
      <c r="H30" s="73" t="s">
        <v>192</v>
      </c>
      <c r="I30" s="7" t="s">
        <v>13</v>
      </c>
    </row>
    <row r="31">
      <c r="A31" s="7" t="s">
        <v>141</v>
      </c>
      <c r="B31" s="71" t="s">
        <v>193</v>
      </c>
      <c r="C31" s="67">
        <v>85.0</v>
      </c>
      <c r="D31" s="74" t="b">
        <v>1</v>
      </c>
      <c r="E31" s="71"/>
      <c r="F31" s="76"/>
      <c r="G31" s="7"/>
      <c r="H31" s="7"/>
      <c r="I31" s="7"/>
    </row>
    <row r="32">
      <c r="A32" s="7" t="s">
        <v>5</v>
      </c>
      <c r="B32" s="71" t="s">
        <v>194</v>
      </c>
      <c r="C32" s="67">
        <v>93.0</v>
      </c>
      <c r="D32" s="74" t="b">
        <v>0</v>
      </c>
      <c r="E32" s="71"/>
      <c r="F32" s="76"/>
      <c r="G32" s="7"/>
      <c r="H32" s="7"/>
      <c r="I32" s="7"/>
    </row>
    <row r="33">
      <c r="A33" s="7" t="s">
        <v>4</v>
      </c>
      <c r="B33" s="71" t="s">
        <v>195</v>
      </c>
      <c r="C33" s="67">
        <v>90.0</v>
      </c>
      <c r="D33" s="74" t="b">
        <v>1</v>
      </c>
      <c r="E33" s="71"/>
      <c r="F33" s="76"/>
      <c r="G33" s="7"/>
      <c r="H33" s="7"/>
      <c r="I33" s="7"/>
    </row>
    <row r="34">
      <c r="A34" s="5"/>
      <c r="B34" s="71"/>
      <c r="C34" s="25"/>
      <c r="D34" s="5"/>
      <c r="E34" s="77"/>
      <c r="F34" s="78"/>
      <c r="G34" s="46"/>
      <c r="H34" s="46"/>
      <c r="I34" s="46"/>
    </row>
    <row r="35">
      <c r="A35" s="5"/>
      <c r="B35" s="71"/>
      <c r="C35" s="25"/>
      <c r="D35" s="5"/>
      <c r="E35" s="77"/>
      <c r="F35" s="78"/>
      <c r="G35" s="46"/>
      <c r="H35" s="46"/>
      <c r="I35" s="46"/>
    </row>
    <row r="36">
      <c r="A36" s="5"/>
      <c r="B36" s="71"/>
      <c r="C36" s="25"/>
      <c r="D36" s="5"/>
      <c r="E36" s="77"/>
      <c r="F36" s="78"/>
      <c r="G36" s="46"/>
      <c r="H36" s="46"/>
      <c r="I36" s="46"/>
    </row>
    <row r="37">
      <c r="A37" s="5"/>
      <c r="B37" s="71"/>
      <c r="C37" s="25"/>
      <c r="D37" s="5"/>
      <c r="E37" s="77"/>
      <c r="F37" s="78"/>
      <c r="G37" s="46"/>
      <c r="H37" s="46"/>
      <c r="I37" s="46"/>
    </row>
    <row r="38">
      <c r="A38" s="5"/>
      <c r="B38" s="71"/>
      <c r="C38" s="25"/>
      <c r="D38" s="5"/>
      <c r="E38" s="77"/>
      <c r="F38" s="78"/>
      <c r="G38" s="46"/>
      <c r="H38" s="46"/>
      <c r="I38" s="46"/>
    </row>
    <row r="39">
      <c r="A39" s="5"/>
      <c r="B39" s="71"/>
      <c r="C39" s="25"/>
      <c r="D39" s="5"/>
      <c r="E39" s="77"/>
      <c r="F39" s="78"/>
      <c r="G39" s="46"/>
      <c r="H39" s="46"/>
      <c r="I39" s="46"/>
    </row>
    <row r="40">
      <c r="A40" s="5"/>
      <c r="B40" s="71"/>
      <c r="C40" s="25"/>
      <c r="D40" s="5"/>
      <c r="E40" s="77"/>
      <c r="F40" s="78"/>
      <c r="G40" s="46"/>
      <c r="H40" s="46"/>
      <c r="I40" s="46"/>
    </row>
    <row r="41">
      <c r="A41" s="5"/>
      <c r="B41" s="71"/>
      <c r="C41" s="25"/>
      <c r="D41" s="5"/>
      <c r="E41" s="75"/>
      <c r="F41" s="68"/>
      <c r="G41" s="5"/>
      <c r="H41" s="5"/>
      <c r="I41" s="5"/>
    </row>
    <row r="42">
      <c r="A42" s="5"/>
      <c r="B42" s="71"/>
      <c r="C42" s="25"/>
      <c r="D42" s="5"/>
      <c r="E42" s="75"/>
      <c r="F42" s="68"/>
      <c r="G42" s="5"/>
      <c r="H42" s="5"/>
      <c r="I42" s="5"/>
    </row>
    <row r="43">
      <c r="A43" s="5"/>
      <c r="B43" s="5"/>
      <c r="C43" s="5"/>
      <c r="D43" s="5"/>
      <c r="E43" s="25"/>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93</v>
      </c>
      <c r="B2" s="7" t="s">
        <v>108</v>
      </c>
      <c r="C2" s="67">
        <f t="shared" ref="C2:C6" si="1">COUNTIF(I:I,A2)</f>
        <v>0</v>
      </c>
      <c r="D2" s="17">
        <f t="shared" ref="D2:D6" si="2">C2/COUNTA(I$2:I1000)</f>
        <v>0</v>
      </c>
      <c r="E2" s="77">
        <v>1.623506929E9</v>
      </c>
      <c r="F2" s="68">
        <f>IFERROR(__xludf.DUMMYFUNCTION("INDEX(SPLIT(E2, char(10)), 0, 1)/86400+date(1970,1,1)"),44359.58945601852)</f>
        <v>44359.58946</v>
      </c>
      <c r="G2" s="46" t="s">
        <v>196</v>
      </c>
      <c r="H2" s="46" t="s">
        <v>197</v>
      </c>
      <c r="I2" s="46" t="s">
        <v>14</v>
      </c>
    </row>
    <row r="3">
      <c r="A3" s="7" t="s">
        <v>11</v>
      </c>
      <c r="B3" s="7" t="s">
        <v>111</v>
      </c>
      <c r="C3" s="67">
        <f t="shared" si="1"/>
        <v>0</v>
      </c>
      <c r="D3" s="17">
        <f t="shared" si="2"/>
        <v>0</v>
      </c>
      <c r="E3" s="77">
        <v>1.623508468E9</v>
      </c>
      <c r="F3" s="68">
        <f>IFERROR(__xludf.DUMMYFUNCTION("INDEX(SPLIT(E3, char(10)), 0, 1)/86400+date(1970,1,1)"),44359.60726851852)</f>
        <v>44359.60727</v>
      </c>
      <c r="G3" s="46" t="s">
        <v>198</v>
      </c>
      <c r="H3" s="46" t="s">
        <v>199</v>
      </c>
      <c r="I3" s="46" t="s">
        <v>13</v>
      </c>
    </row>
    <row r="4">
      <c r="A4" s="7" t="s">
        <v>12</v>
      </c>
      <c r="B4" s="7" t="s">
        <v>114</v>
      </c>
      <c r="C4" s="67">
        <f t="shared" si="1"/>
        <v>0</v>
      </c>
      <c r="D4" s="17">
        <f t="shared" si="2"/>
        <v>0</v>
      </c>
      <c r="E4" s="77">
        <v>1.623509512E9</v>
      </c>
      <c r="F4" s="68">
        <f>IFERROR(__xludf.DUMMYFUNCTION("INDEX(SPLIT(E4, char(10)), 0, 1)/86400+date(1970,1,1)"),44359.619351851856)</f>
        <v>44359.61935</v>
      </c>
      <c r="G4" s="46" t="s">
        <v>200</v>
      </c>
      <c r="H4" s="46" t="s">
        <v>201</v>
      </c>
      <c r="I4" s="46" t="s">
        <v>14</v>
      </c>
    </row>
    <row r="5">
      <c r="A5" s="7" t="s">
        <v>13</v>
      </c>
      <c r="B5" s="7" t="s">
        <v>117</v>
      </c>
      <c r="C5" s="67">
        <f t="shared" si="1"/>
        <v>1</v>
      </c>
      <c r="D5" s="17">
        <f t="shared" si="2"/>
        <v>0.3333333333</v>
      </c>
      <c r="E5" s="67"/>
      <c r="F5" s="68"/>
      <c r="G5" s="7"/>
      <c r="H5" s="46"/>
      <c r="I5" s="7"/>
    </row>
    <row r="6">
      <c r="A6" s="7" t="s">
        <v>14</v>
      </c>
      <c r="B6" s="7" t="s">
        <v>120</v>
      </c>
      <c r="C6" s="67">
        <f t="shared" si="1"/>
        <v>2</v>
      </c>
      <c r="D6" s="17">
        <f t="shared" si="2"/>
        <v>0.6666666667</v>
      </c>
      <c r="E6" s="67"/>
      <c r="F6" s="68"/>
      <c r="G6" s="7"/>
      <c r="H6" s="46"/>
      <c r="I6" s="7"/>
    </row>
    <row r="7">
      <c r="A7" s="5"/>
      <c r="B7" s="7" t="s">
        <v>10</v>
      </c>
      <c r="C7" s="23">
        <f t="shared" ref="C7:D7" si="3">SUM(C2:C6)</f>
        <v>3</v>
      </c>
      <c r="D7" s="70">
        <f t="shared" si="3"/>
        <v>1</v>
      </c>
      <c r="E7" s="67"/>
      <c r="F7" s="68"/>
      <c r="G7" s="7"/>
      <c r="H7" s="46"/>
      <c r="I7" s="7"/>
    </row>
    <row r="8">
      <c r="A8" s="71"/>
      <c r="B8" s="7" t="s">
        <v>15</v>
      </c>
      <c r="C8" s="67">
        <f t="shared" ref="C8:D8" si="4">SUM(C5:C6)</f>
        <v>3</v>
      </c>
      <c r="D8" s="17">
        <f t="shared" si="4"/>
        <v>1</v>
      </c>
      <c r="E8" s="67"/>
      <c r="F8" s="68"/>
      <c r="G8" s="7"/>
      <c r="H8" s="46"/>
      <c r="I8" s="7"/>
    </row>
    <row r="9">
      <c r="A9" s="71"/>
      <c r="B9" s="7" t="s">
        <v>127</v>
      </c>
      <c r="C9" s="67">
        <f>SUM(C6:C7)</f>
        <v>5</v>
      </c>
      <c r="D9" s="17">
        <f>SUM(D5:D6) + D2</f>
        <v>1</v>
      </c>
      <c r="E9" s="67"/>
      <c r="F9" s="68"/>
      <c r="G9" s="7"/>
      <c r="H9" s="46"/>
      <c r="I9" s="46"/>
    </row>
    <row r="10">
      <c r="A10" s="71"/>
      <c r="B10" s="71"/>
      <c r="C10" s="71"/>
      <c r="D10" s="71"/>
      <c r="E10" s="67"/>
      <c r="F10" s="68"/>
      <c r="G10" s="7"/>
      <c r="H10" s="46"/>
      <c r="I10" s="7"/>
    </row>
    <row r="11">
      <c r="A11" s="71"/>
      <c r="B11" s="71"/>
      <c r="C11" s="71"/>
      <c r="D11" s="71"/>
      <c r="E11" s="67"/>
      <c r="F11" s="68"/>
      <c r="G11" s="7"/>
      <c r="H11" s="46"/>
      <c r="I11" s="7"/>
    </row>
    <row r="12">
      <c r="A12" s="1" t="s">
        <v>134</v>
      </c>
      <c r="B12" s="72" t="s">
        <v>202</v>
      </c>
      <c r="C12" s="71"/>
      <c r="D12" s="71"/>
      <c r="E12" s="67"/>
      <c r="F12" s="68"/>
      <c r="G12" s="7"/>
      <c r="H12" s="46"/>
      <c r="I12" s="7"/>
    </row>
    <row r="13">
      <c r="A13" s="1" t="s">
        <v>138</v>
      </c>
      <c r="B13" s="71"/>
      <c r="C13" s="1" t="s">
        <v>101</v>
      </c>
      <c r="D13" s="1" t="s">
        <v>102</v>
      </c>
      <c r="E13" s="67"/>
      <c r="F13" s="68"/>
      <c r="G13" s="7"/>
      <c r="H13" s="46"/>
      <c r="I13" s="7"/>
    </row>
    <row r="14">
      <c r="A14" s="7" t="s">
        <v>141</v>
      </c>
      <c r="B14" s="7" t="s">
        <v>142</v>
      </c>
      <c r="C14" s="23">
        <f t="shared" ref="C14:C17" si="5">COUNTIF($A$19:$A1000, A14)</f>
        <v>3</v>
      </c>
      <c r="D14" s="17">
        <f>IFERROR(__xludf.DUMMYFUNCTION("IF(C14, COUNTIF(FILTER($D$20:$D1000, $A$20:$A1000=A14), TRUE)/C14, 0)"),0.3333333333333333)</f>
        <v>0.3333333333</v>
      </c>
      <c r="E14" s="67"/>
      <c r="F14" s="68"/>
      <c r="G14" s="7"/>
      <c r="H14" s="46"/>
      <c r="I14" s="7"/>
    </row>
    <row r="15">
      <c r="A15" s="7" t="s">
        <v>3</v>
      </c>
      <c r="B15" s="7" t="s">
        <v>145</v>
      </c>
      <c r="C15" s="23">
        <f t="shared" si="5"/>
        <v>3</v>
      </c>
      <c r="D15" s="17">
        <f>IFERROR(__xludf.DUMMYFUNCTION("IF(C15, COUNTIF(FILTER($D$20:$D1000, $A$20:$A1000=A15), TRUE)/C15, 0)"),0.0)</f>
        <v>0</v>
      </c>
      <c r="E15" s="67"/>
      <c r="F15" s="68"/>
      <c r="G15" s="7"/>
      <c r="H15" s="46"/>
      <c r="I15" s="7"/>
    </row>
    <row r="16">
      <c r="A16" s="7" t="s">
        <v>4</v>
      </c>
      <c r="B16" s="7" t="s">
        <v>148</v>
      </c>
      <c r="C16" s="23">
        <f t="shared" si="5"/>
        <v>4</v>
      </c>
      <c r="D16" s="17">
        <f>IFERROR(__xludf.DUMMYFUNCTION("IF(C16, COUNTIF(FILTER($D$20:$D1000, $A$20:$A1000=A16), TRUE)/C16, 0)"),0.0)</f>
        <v>0</v>
      </c>
      <c r="E16" s="67"/>
      <c r="F16" s="68"/>
      <c r="G16" s="7"/>
      <c r="H16" s="46"/>
      <c r="I16" s="7"/>
    </row>
    <row r="17">
      <c r="A17" s="7" t="s">
        <v>5</v>
      </c>
      <c r="B17" s="7" t="s">
        <v>151</v>
      </c>
      <c r="C17" s="23">
        <f t="shared" si="5"/>
        <v>4</v>
      </c>
      <c r="D17" s="17">
        <f>IFERROR(__xludf.DUMMYFUNCTION("IF(C17, COUNTIF(FILTER($D$20:$D1000, $A$20:$A1000=A17), TRUE)/C17, 0)"),0.0)</f>
        <v>0</v>
      </c>
      <c r="E17" s="67"/>
      <c r="F17" s="68"/>
      <c r="G17" s="7"/>
      <c r="H17" s="46"/>
      <c r="I17" s="7"/>
    </row>
    <row r="18">
      <c r="A18" s="71"/>
      <c r="B18" s="1" t="s">
        <v>6</v>
      </c>
      <c r="C18" s="23">
        <f>SUM(C14:C17)</f>
        <v>14</v>
      </c>
      <c r="D18" s="17">
        <f>COUNTIF($D$19:$D1000, TRUE)/SUM($C$14:$C$17)</f>
        <v>0.07142857143</v>
      </c>
      <c r="E18" s="67"/>
      <c r="F18" s="68"/>
      <c r="G18" s="7"/>
      <c r="H18" s="46"/>
      <c r="I18" s="7"/>
    </row>
    <row r="19">
      <c r="A19" s="1" t="s">
        <v>107</v>
      </c>
      <c r="B19" s="1" t="s">
        <v>156</v>
      </c>
      <c r="C19" s="1" t="s">
        <v>157</v>
      </c>
      <c r="D19" s="1" t="s">
        <v>158</v>
      </c>
      <c r="E19" s="67"/>
      <c r="F19" s="68"/>
      <c r="G19" s="7"/>
      <c r="H19" s="46"/>
      <c r="I19" s="7"/>
    </row>
    <row r="20">
      <c r="A20" s="7" t="s">
        <v>4</v>
      </c>
      <c r="B20" s="7" t="s">
        <v>161</v>
      </c>
      <c r="C20" s="67">
        <v>1.0</v>
      </c>
      <c r="D20" s="79" t="b">
        <v>0</v>
      </c>
      <c r="E20" s="67"/>
      <c r="F20" s="68"/>
      <c r="G20" s="7"/>
      <c r="H20" s="46"/>
      <c r="I20" s="7"/>
    </row>
    <row r="21">
      <c r="A21" s="7" t="s">
        <v>3</v>
      </c>
      <c r="B21" s="7" t="s">
        <v>164</v>
      </c>
      <c r="C21" s="67">
        <v>30.0</v>
      </c>
      <c r="D21" s="79" t="b">
        <v>0</v>
      </c>
      <c r="E21" s="67"/>
      <c r="F21" s="68"/>
      <c r="G21" s="7"/>
      <c r="H21" s="46"/>
      <c r="I21" s="7"/>
    </row>
    <row r="22">
      <c r="A22" s="7" t="s">
        <v>4</v>
      </c>
      <c r="B22" s="7" t="s">
        <v>167</v>
      </c>
      <c r="C22" s="67">
        <v>45.0</v>
      </c>
      <c r="D22" s="79" t="b">
        <v>0</v>
      </c>
      <c r="E22" s="67"/>
      <c r="F22" s="68"/>
      <c r="G22" s="7"/>
      <c r="H22" s="46"/>
      <c r="I22" s="7"/>
    </row>
    <row r="23">
      <c r="A23" s="7" t="s">
        <v>4</v>
      </c>
      <c r="B23" s="7" t="s">
        <v>170</v>
      </c>
      <c r="C23" s="67">
        <v>45.0</v>
      </c>
      <c r="D23" s="79" t="b">
        <v>0</v>
      </c>
      <c r="E23" s="67"/>
      <c r="F23" s="68"/>
      <c r="G23" s="7"/>
      <c r="H23" s="46"/>
      <c r="I23" s="7"/>
    </row>
    <row r="24">
      <c r="A24" s="7" t="s">
        <v>3</v>
      </c>
      <c r="B24" s="7" t="s">
        <v>173</v>
      </c>
      <c r="C24" s="67">
        <v>47.0</v>
      </c>
      <c r="D24" s="79" t="b">
        <v>0</v>
      </c>
      <c r="E24" s="67"/>
      <c r="F24" s="68"/>
      <c r="G24" s="7"/>
      <c r="H24" s="46"/>
      <c r="I24" s="7"/>
    </row>
    <row r="25">
      <c r="A25" s="7" t="s">
        <v>141</v>
      </c>
      <c r="B25" s="71" t="s">
        <v>176</v>
      </c>
      <c r="C25" s="67">
        <v>49.0</v>
      </c>
      <c r="D25" s="79" t="b">
        <v>0</v>
      </c>
      <c r="E25" s="67"/>
      <c r="F25" s="68"/>
      <c r="G25" s="7"/>
      <c r="H25" s="46"/>
      <c r="I25" s="7"/>
    </row>
    <row r="26">
      <c r="A26" s="7" t="s">
        <v>3</v>
      </c>
      <c r="B26" s="71" t="s">
        <v>179</v>
      </c>
      <c r="C26" s="67">
        <v>63.0</v>
      </c>
      <c r="D26" s="79" t="b">
        <v>0</v>
      </c>
      <c r="E26" s="67"/>
      <c r="F26" s="68"/>
      <c r="G26" s="7"/>
      <c r="H26" s="46"/>
      <c r="I26" s="7"/>
    </row>
    <row r="27">
      <c r="A27" s="7" t="s">
        <v>5</v>
      </c>
      <c r="B27" s="71" t="s">
        <v>182</v>
      </c>
      <c r="C27" s="67">
        <v>66.0</v>
      </c>
      <c r="D27" s="79" t="b">
        <v>0</v>
      </c>
      <c r="E27" s="67"/>
      <c r="F27" s="68"/>
      <c r="G27" s="7"/>
      <c r="H27" s="46"/>
      <c r="I27" s="7"/>
    </row>
    <row r="28">
      <c r="A28" s="7" t="s">
        <v>141</v>
      </c>
      <c r="B28" s="71" t="s">
        <v>173</v>
      </c>
      <c r="C28" s="67">
        <v>74.0</v>
      </c>
      <c r="D28" s="79" t="b">
        <v>1</v>
      </c>
      <c r="E28" s="67"/>
      <c r="F28" s="68"/>
      <c r="G28" s="7"/>
      <c r="H28" s="46"/>
      <c r="I28" s="7"/>
    </row>
    <row r="29">
      <c r="A29" s="7" t="s">
        <v>5</v>
      </c>
      <c r="B29" s="71" t="s">
        <v>187</v>
      </c>
      <c r="C29" s="67">
        <v>75.0</v>
      </c>
      <c r="D29" s="79" t="b">
        <v>0</v>
      </c>
      <c r="E29" s="75"/>
      <c r="F29" s="68"/>
      <c r="G29" s="7"/>
      <c r="H29" s="46"/>
      <c r="I29" s="7"/>
    </row>
    <row r="30">
      <c r="A30" s="7" t="s">
        <v>5</v>
      </c>
      <c r="B30" s="71" t="s">
        <v>190</v>
      </c>
      <c r="C30" s="67">
        <v>84.0</v>
      </c>
      <c r="D30" s="79" t="b">
        <v>0</v>
      </c>
      <c r="E30" s="68"/>
      <c r="F30" s="68"/>
      <c r="G30" s="7"/>
      <c r="H30" s="46"/>
      <c r="I30" s="7"/>
    </row>
    <row r="31">
      <c r="A31" s="7" t="s">
        <v>141</v>
      </c>
      <c r="B31" s="71" t="s">
        <v>193</v>
      </c>
      <c r="C31" s="67">
        <v>85.0</v>
      </c>
      <c r="D31" s="79" t="b">
        <v>0</v>
      </c>
      <c r="E31" s="71"/>
      <c r="F31" s="76"/>
      <c r="G31" s="7"/>
      <c r="H31" s="46"/>
      <c r="I31" s="7"/>
    </row>
    <row r="32">
      <c r="A32" s="7" t="s">
        <v>5</v>
      </c>
      <c r="B32" s="71" t="s">
        <v>194</v>
      </c>
      <c r="C32" s="67">
        <v>93.0</v>
      </c>
      <c r="D32" s="79" t="b">
        <v>0</v>
      </c>
      <c r="E32" s="71"/>
      <c r="F32" s="76"/>
      <c r="G32" s="7"/>
      <c r="H32" s="46"/>
      <c r="I32" s="7"/>
    </row>
    <row r="33">
      <c r="A33" s="7" t="s">
        <v>4</v>
      </c>
      <c r="B33" s="71" t="s">
        <v>195</v>
      </c>
      <c r="C33" s="67">
        <v>90.0</v>
      </c>
      <c r="D33" s="79" t="b">
        <v>0</v>
      </c>
      <c r="E33" s="71"/>
      <c r="F33" s="76"/>
      <c r="G33" s="7"/>
      <c r="H33" s="46"/>
      <c r="I33" s="7"/>
    </row>
    <row r="34">
      <c r="A34" s="5"/>
      <c r="B34" s="71"/>
      <c r="C34" s="25"/>
      <c r="D34" s="5"/>
      <c r="E34" s="77"/>
      <c r="F34" s="78"/>
      <c r="G34" s="46"/>
      <c r="H34" s="46"/>
      <c r="I34" s="46"/>
    </row>
    <row r="35">
      <c r="A35" s="46"/>
      <c r="B35" s="46"/>
      <c r="C35" s="77"/>
      <c r="D35" s="5"/>
      <c r="E35" s="77"/>
      <c r="F35" s="78"/>
      <c r="G35" s="46"/>
      <c r="H35" s="46"/>
      <c r="I35" s="46"/>
    </row>
    <row r="36">
      <c r="A36" s="46"/>
      <c r="B36" s="46"/>
      <c r="C36" s="77"/>
      <c r="D36" s="5"/>
      <c r="E36" s="77"/>
      <c r="F36" s="78"/>
      <c r="G36" s="46"/>
      <c r="H36" s="46"/>
      <c r="I36" s="46"/>
    </row>
    <row r="37">
      <c r="A37" s="46"/>
      <c r="B37" s="46"/>
      <c r="C37" s="77"/>
      <c r="D37" s="5"/>
      <c r="E37" s="77"/>
      <c r="F37" s="78"/>
      <c r="G37" s="46"/>
      <c r="H37" s="46"/>
      <c r="I37" s="46"/>
    </row>
    <row r="38">
      <c r="A38" s="46"/>
      <c r="B38" s="46"/>
      <c r="C38" s="77"/>
      <c r="D38" s="5"/>
      <c r="E38" s="77"/>
      <c r="F38" s="78"/>
      <c r="G38" s="46"/>
      <c r="H38" s="46"/>
      <c r="I38" s="46"/>
    </row>
    <row r="39">
      <c r="A39" s="5"/>
      <c r="B39" s="71"/>
      <c r="C39" s="25"/>
      <c r="D39" s="5"/>
      <c r="E39" s="77"/>
      <c r="F39" s="78"/>
      <c r="G39" s="46"/>
      <c r="H39" s="46"/>
      <c r="I39" s="46"/>
    </row>
    <row r="40">
      <c r="A40" s="5"/>
      <c r="B40" s="71"/>
      <c r="C40" s="25"/>
      <c r="D40" s="5"/>
      <c r="E40" s="77"/>
      <c r="F40" s="78"/>
      <c r="G40" s="46"/>
      <c r="H40" s="46"/>
      <c r="I40" s="46"/>
    </row>
    <row r="41">
      <c r="A41" s="5"/>
      <c r="B41" s="71"/>
      <c r="C41" s="25"/>
      <c r="D41" s="5"/>
      <c r="E41" s="75"/>
      <c r="F41" s="68"/>
      <c r="G41" s="5"/>
      <c r="H41" s="46"/>
      <c r="I41" s="5"/>
    </row>
    <row r="42">
      <c r="A42" s="5"/>
      <c r="B42" s="71"/>
      <c r="C42" s="25"/>
      <c r="D42" s="5"/>
      <c r="E42" s="75"/>
      <c r="F42" s="68"/>
      <c r="G42" s="5"/>
      <c r="H42" s="46"/>
      <c r="I42" s="5"/>
    </row>
    <row r="43">
      <c r="A43" s="5"/>
      <c r="B43" s="5"/>
      <c r="C43" s="5"/>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93</v>
      </c>
      <c r="B2" s="7" t="s">
        <v>108</v>
      </c>
      <c r="C2" s="67">
        <f t="shared" ref="C2:C6" si="1">COUNTIF(I:I,A2)</f>
        <v>1</v>
      </c>
      <c r="D2" s="17">
        <f t="shared" ref="D2:D6" si="2">C2/COUNTA(I$2:I1000)</f>
        <v>0.07142857143</v>
      </c>
      <c r="E2" s="77">
        <v>1.623503815E9</v>
      </c>
      <c r="F2" s="68">
        <f>IFERROR(__xludf.DUMMYFUNCTION("INDEX(SPLIT(E2, char(10)), 0, 1)/86400+date(1970,1,1)"),44359.55341435185)</f>
        <v>44359.55341</v>
      </c>
      <c r="G2" s="46" t="s">
        <v>203</v>
      </c>
      <c r="H2" s="46" t="s">
        <v>204</v>
      </c>
      <c r="I2" s="46" t="s">
        <v>14</v>
      </c>
    </row>
    <row r="3">
      <c r="A3" s="7" t="s">
        <v>11</v>
      </c>
      <c r="B3" s="7" t="s">
        <v>111</v>
      </c>
      <c r="C3" s="67">
        <f t="shared" si="1"/>
        <v>1</v>
      </c>
      <c r="D3" s="17">
        <f t="shared" si="2"/>
        <v>0.07142857143</v>
      </c>
      <c r="E3" s="77">
        <v>1.623505693E9</v>
      </c>
      <c r="F3" s="68">
        <f>IFERROR(__xludf.DUMMYFUNCTION("INDEX(SPLIT(E3, char(10)), 0, 1)/86400+date(1970,1,1)"),44359.57515046296)</f>
        <v>44359.57515</v>
      </c>
      <c r="G3" s="46" t="s">
        <v>205</v>
      </c>
      <c r="H3" s="46" t="s">
        <v>206</v>
      </c>
      <c r="I3" s="46" t="s">
        <v>14</v>
      </c>
    </row>
    <row r="4">
      <c r="A4" s="7" t="s">
        <v>12</v>
      </c>
      <c r="B4" s="7" t="s">
        <v>114</v>
      </c>
      <c r="C4" s="67">
        <f t="shared" si="1"/>
        <v>2</v>
      </c>
      <c r="D4" s="17">
        <f t="shared" si="2"/>
        <v>0.1428571429</v>
      </c>
      <c r="E4" s="77">
        <v>1.623506938E9</v>
      </c>
      <c r="F4" s="68">
        <f>IFERROR(__xludf.DUMMYFUNCTION("INDEX(SPLIT(E4, char(10)), 0, 1)/86400+date(1970,1,1)"),44359.58956018518)</f>
        <v>44359.58956</v>
      </c>
      <c r="G4" s="46" t="s">
        <v>207</v>
      </c>
      <c r="H4" s="46" t="s">
        <v>208</v>
      </c>
      <c r="I4" s="46" t="s">
        <v>13</v>
      </c>
    </row>
    <row r="5">
      <c r="A5" s="7" t="s">
        <v>13</v>
      </c>
      <c r="B5" s="7" t="s">
        <v>117</v>
      </c>
      <c r="C5" s="67">
        <f t="shared" si="1"/>
        <v>4</v>
      </c>
      <c r="D5" s="17">
        <f t="shared" si="2"/>
        <v>0.2857142857</v>
      </c>
      <c r="E5" s="77">
        <v>1.623507034E9</v>
      </c>
      <c r="F5" s="68">
        <f>IFERROR(__xludf.DUMMYFUNCTION("INDEX(SPLIT(E5, char(10)), 0, 1)/86400+date(1970,1,1)"),44359.5906712963)</f>
        <v>44359.59067</v>
      </c>
      <c r="G5" s="46" t="s">
        <v>209</v>
      </c>
      <c r="H5" s="46" t="s">
        <v>210</v>
      </c>
      <c r="I5" s="46" t="s">
        <v>14</v>
      </c>
    </row>
    <row r="6">
      <c r="A6" s="7" t="s">
        <v>14</v>
      </c>
      <c r="B6" s="7" t="s">
        <v>120</v>
      </c>
      <c r="C6" s="67">
        <f t="shared" si="1"/>
        <v>6</v>
      </c>
      <c r="D6" s="17">
        <f t="shared" si="2"/>
        <v>0.4285714286</v>
      </c>
      <c r="E6" s="77">
        <v>1.623507142E9</v>
      </c>
      <c r="F6" s="68">
        <f>IFERROR(__xludf.DUMMYFUNCTION("INDEX(SPLIT(E6, char(10)), 0, 1)/86400+date(1970,1,1)"),44359.5919212963)</f>
        <v>44359.59192</v>
      </c>
      <c r="G6" s="46" t="s">
        <v>128</v>
      </c>
      <c r="H6" s="46" t="s">
        <v>211</v>
      </c>
      <c r="I6" s="46" t="s">
        <v>11</v>
      </c>
    </row>
    <row r="7">
      <c r="A7" s="5"/>
      <c r="B7" s="7" t="s">
        <v>10</v>
      </c>
      <c r="C7" s="23">
        <f t="shared" ref="C7:D7" si="3">SUM(C2:C6)</f>
        <v>14</v>
      </c>
      <c r="D7" s="70">
        <f t="shared" si="3"/>
        <v>1</v>
      </c>
      <c r="E7" s="77">
        <v>1.623507813E9</v>
      </c>
      <c r="F7" s="68">
        <f>IFERROR(__xludf.DUMMYFUNCTION("INDEX(SPLIT(E7, char(10)), 0, 1)/86400+date(1970,1,1)"),44359.5996875)</f>
        <v>44359.59969</v>
      </c>
      <c r="G7" s="46" t="s">
        <v>212</v>
      </c>
      <c r="H7" s="46" t="s">
        <v>213</v>
      </c>
      <c r="I7" s="46" t="s">
        <v>13</v>
      </c>
    </row>
    <row r="8">
      <c r="A8" s="71"/>
      <c r="B8" s="7" t="s">
        <v>15</v>
      </c>
      <c r="C8" s="67">
        <f t="shared" ref="C8:D8" si="4">SUM(C5:C6)</f>
        <v>10</v>
      </c>
      <c r="D8" s="17">
        <f t="shared" si="4"/>
        <v>0.7142857143</v>
      </c>
      <c r="E8" s="77">
        <v>1.623508434E9</v>
      </c>
      <c r="F8" s="68">
        <f>IFERROR(__xludf.DUMMYFUNCTION("INDEX(SPLIT(E8, char(10)), 0, 1)/86400+date(1970,1,1)"),44359.606875)</f>
        <v>44359.60688</v>
      </c>
      <c r="G8" s="46" t="s">
        <v>214</v>
      </c>
      <c r="H8" s="46" t="s">
        <v>215</v>
      </c>
      <c r="I8" s="46" t="s">
        <v>13</v>
      </c>
    </row>
    <row r="9">
      <c r="A9" s="71"/>
      <c r="B9" s="7" t="s">
        <v>127</v>
      </c>
      <c r="C9" s="67">
        <f>SUM(C6:C7)</f>
        <v>20</v>
      </c>
      <c r="D9" s="17">
        <f>SUM(D5:D6) + D2</f>
        <v>0.7857142857</v>
      </c>
      <c r="E9" s="77">
        <v>1.623508528E9</v>
      </c>
      <c r="F9" s="68">
        <f>IFERROR(__xludf.DUMMYFUNCTION("INDEX(SPLIT(E9, char(10)), 0, 1)/86400+date(1970,1,1)"),44359.60796296297)</f>
        <v>44359.60796</v>
      </c>
      <c r="G9" s="46" t="s">
        <v>216</v>
      </c>
      <c r="H9" s="46" t="s">
        <v>217</v>
      </c>
      <c r="I9" s="46" t="s">
        <v>93</v>
      </c>
    </row>
    <row r="10">
      <c r="A10" s="71"/>
      <c r="B10" s="71"/>
      <c r="C10" s="71"/>
      <c r="D10" s="71"/>
      <c r="E10" s="77">
        <v>1.623508775E9</v>
      </c>
      <c r="F10" s="68">
        <f>IFERROR(__xludf.DUMMYFUNCTION("INDEX(SPLIT(E10, char(10)), 0, 1)/86400+date(1970,1,1)"),44359.610821759255)</f>
        <v>44359.61082</v>
      </c>
      <c r="G10" s="46" t="s">
        <v>218</v>
      </c>
      <c r="H10" s="46" t="s">
        <v>219</v>
      </c>
      <c r="I10" s="46" t="s">
        <v>12</v>
      </c>
    </row>
    <row r="11">
      <c r="A11" s="71"/>
      <c r="B11" s="71"/>
      <c r="C11" s="71"/>
      <c r="D11" s="71"/>
      <c r="E11" s="77">
        <v>1.62350895E9</v>
      </c>
      <c r="F11" s="68">
        <f>IFERROR(__xludf.DUMMYFUNCTION("INDEX(SPLIT(E11, char(10)), 0, 1)/86400+date(1970,1,1)"),44359.61284722222)</f>
        <v>44359.61285</v>
      </c>
      <c r="G11" s="46" t="s">
        <v>220</v>
      </c>
      <c r="H11" s="46" t="s">
        <v>221</v>
      </c>
      <c r="I11" s="46" t="s">
        <v>14</v>
      </c>
    </row>
    <row r="12">
      <c r="A12" s="1" t="s">
        <v>134</v>
      </c>
      <c r="B12" s="72" t="s">
        <v>222</v>
      </c>
      <c r="C12" s="71"/>
      <c r="D12" s="71"/>
      <c r="E12" s="77">
        <v>1.623509092E9</v>
      </c>
      <c r="F12" s="68">
        <f>IFERROR(__xludf.DUMMYFUNCTION("INDEX(SPLIT(E12, char(10)), 0, 1)/86400+date(1970,1,1)"),44359.61449074074)</f>
        <v>44359.61449</v>
      </c>
      <c r="G12" s="46" t="s">
        <v>223</v>
      </c>
      <c r="H12" s="46" t="s">
        <v>224</v>
      </c>
      <c r="I12" s="46" t="s">
        <v>13</v>
      </c>
    </row>
    <row r="13">
      <c r="A13" s="1" t="s">
        <v>138</v>
      </c>
      <c r="B13" s="71"/>
      <c r="C13" s="1" t="s">
        <v>101</v>
      </c>
      <c r="D13" s="1" t="s">
        <v>102</v>
      </c>
      <c r="E13" s="77">
        <v>1.623509224E9</v>
      </c>
      <c r="F13" s="68">
        <f>IFERROR(__xludf.DUMMYFUNCTION("INDEX(SPLIT(E13, char(10)), 0, 1)/86400+date(1970,1,1)"),44359.616018518514)</f>
        <v>44359.61602</v>
      </c>
      <c r="G13" s="46" t="s">
        <v>225</v>
      </c>
      <c r="H13" s="46" t="s">
        <v>226</v>
      </c>
      <c r="I13" s="46" t="s">
        <v>12</v>
      </c>
    </row>
    <row r="14">
      <c r="A14" s="7" t="s">
        <v>141</v>
      </c>
      <c r="B14" s="7" t="s">
        <v>142</v>
      </c>
      <c r="C14" s="23">
        <f t="shared" ref="C14:C17" si="5">COUNTIF($A$19:$A1000, A14)</f>
        <v>3</v>
      </c>
      <c r="D14" s="17">
        <f>IFERROR(__xludf.DUMMYFUNCTION("IF(C14, COUNTIF(FILTER($D$20:$D1000, $A$20:$A1000=A14), TRUE)/C14, 0)"),1.0)</f>
        <v>1</v>
      </c>
      <c r="E14" s="77">
        <v>1.623509459E9</v>
      </c>
      <c r="F14" s="68">
        <f>IFERROR(__xludf.DUMMYFUNCTION("INDEX(SPLIT(E14, char(10)), 0, 1)/86400+date(1970,1,1)"),44359.618738425925)</f>
        <v>44359.61874</v>
      </c>
      <c r="G14" s="46" t="s">
        <v>227</v>
      </c>
      <c r="H14" s="46" t="s">
        <v>228</v>
      </c>
      <c r="I14" s="46" t="s">
        <v>14</v>
      </c>
    </row>
    <row r="15">
      <c r="A15" s="7" t="s">
        <v>3</v>
      </c>
      <c r="B15" s="7" t="s">
        <v>145</v>
      </c>
      <c r="C15" s="23">
        <f t="shared" si="5"/>
        <v>3</v>
      </c>
      <c r="D15" s="17">
        <f>IFERROR(__xludf.DUMMYFUNCTION("IF(C15, COUNTIF(FILTER($D$20:$D1000, $A$20:$A1000=A15), TRUE)/C15, 0)"),0.3333333333333333)</f>
        <v>0.3333333333</v>
      </c>
      <c r="E15" s="77">
        <v>1.623509567E9</v>
      </c>
      <c r="F15" s="68">
        <f>IFERROR(__xludf.DUMMYFUNCTION("INDEX(SPLIT(E15, char(10)), 0, 1)/86400+date(1970,1,1)"),44359.619988425926)</f>
        <v>44359.61999</v>
      </c>
      <c r="G15" s="46" t="s">
        <v>229</v>
      </c>
      <c r="H15" s="46" t="s">
        <v>230</v>
      </c>
      <c r="I15" s="46" t="s">
        <v>14</v>
      </c>
    </row>
    <row r="16">
      <c r="A16" s="7" t="s">
        <v>4</v>
      </c>
      <c r="B16" s="7" t="s">
        <v>148</v>
      </c>
      <c r="C16" s="23">
        <f t="shared" si="5"/>
        <v>4</v>
      </c>
      <c r="D16" s="17">
        <f>IFERROR(__xludf.DUMMYFUNCTION("IF(C16, COUNTIF(FILTER($D$20:$D1000, $A$20:$A1000=A16), TRUE)/C16, 0)"),0.0)</f>
        <v>0</v>
      </c>
      <c r="E16" s="67"/>
      <c r="F16" s="68"/>
      <c r="G16" s="7"/>
      <c r="H16" s="46"/>
      <c r="I16" s="7"/>
    </row>
    <row r="17">
      <c r="A17" s="7" t="s">
        <v>5</v>
      </c>
      <c r="B17" s="7" t="s">
        <v>151</v>
      </c>
      <c r="C17" s="23">
        <f t="shared" si="5"/>
        <v>4</v>
      </c>
      <c r="D17" s="17">
        <f>IFERROR(__xludf.DUMMYFUNCTION("IF(C17, COUNTIF(FILTER($D$20:$D1000, $A$20:$A1000=A17), TRUE)/C17, 0)"),0.0)</f>
        <v>0</v>
      </c>
      <c r="E17" s="67"/>
      <c r="F17" s="68"/>
      <c r="G17" s="7"/>
      <c r="H17" s="46"/>
      <c r="I17" s="7"/>
    </row>
    <row r="18">
      <c r="A18" s="71"/>
      <c r="B18" s="1" t="s">
        <v>6</v>
      </c>
      <c r="C18" s="23">
        <f>SUM(C14:C17)</f>
        <v>14</v>
      </c>
      <c r="D18" s="17">
        <f>COUNTIF($D$19:$D1000, TRUE)/SUM($C$14:$C$17)</f>
        <v>0.2857142857</v>
      </c>
      <c r="E18" s="67"/>
      <c r="F18" s="68"/>
      <c r="G18" s="7"/>
      <c r="H18" s="46"/>
      <c r="I18" s="7"/>
    </row>
    <row r="19">
      <c r="A19" s="1" t="s">
        <v>107</v>
      </c>
      <c r="B19" s="1" t="s">
        <v>156</v>
      </c>
      <c r="C19" s="1" t="s">
        <v>157</v>
      </c>
      <c r="D19" s="1" t="s">
        <v>158</v>
      </c>
      <c r="E19" s="67"/>
      <c r="F19" s="68"/>
      <c r="G19" s="7"/>
      <c r="H19" s="46"/>
      <c r="I19" s="7"/>
    </row>
    <row r="20">
      <c r="A20" s="7" t="s">
        <v>4</v>
      </c>
      <c r="B20" s="7" t="s">
        <v>161</v>
      </c>
      <c r="C20" s="67">
        <v>1.0</v>
      </c>
      <c r="D20" s="79" t="b">
        <v>0</v>
      </c>
      <c r="E20" s="67"/>
      <c r="F20" s="68"/>
      <c r="G20" s="7"/>
      <c r="H20" s="46"/>
      <c r="I20" s="7"/>
    </row>
    <row r="21">
      <c r="A21" s="7" t="s">
        <v>3</v>
      </c>
      <c r="B21" s="7" t="s">
        <v>164</v>
      </c>
      <c r="C21" s="67">
        <v>30.0</v>
      </c>
      <c r="D21" s="79" t="b">
        <v>0</v>
      </c>
      <c r="E21" s="67"/>
      <c r="F21" s="68"/>
      <c r="G21" s="7"/>
      <c r="H21" s="46"/>
      <c r="I21" s="7"/>
    </row>
    <row r="22">
      <c r="A22" s="7" t="s">
        <v>4</v>
      </c>
      <c r="B22" s="7" t="s">
        <v>167</v>
      </c>
      <c r="C22" s="67">
        <v>45.0</v>
      </c>
      <c r="D22" s="79" t="b">
        <v>0</v>
      </c>
      <c r="E22" s="67"/>
      <c r="F22" s="68"/>
      <c r="G22" s="7"/>
      <c r="H22" s="46"/>
      <c r="I22" s="7"/>
    </row>
    <row r="23">
      <c r="A23" s="7" t="s">
        <v>4</v>
      </c>
      <c r="B23" s="7" t="s">
        <v>170</v>
      </c>
      <c r="C23" s="67">
        <v>45.0</v>
      </c>
      <c r="D23" s="79" t="b">
        <v>0</v>
      </c>
      <c r="E23" s="67"/>
      <c r="F23" s="68"/>
      <c r="G23" s="7"/>
      <c r="H23" s="46"/>
      <c r="I23" s="7"/>
    </row>
    <row r="24">
      <c r="A24" s="7" t="s">
        <v>3</v>
      </c>
      <c r="B24" s="7" t="s">
        <v>173</v>
      </c>
      <c r="C24" s="67">
        <v>47.0</v>
      </c>
      <c r="D24" s="79" t="b">
        <v>0</v>
      </c>
      <c r="E24" s="67"/>
      <c r="F24" s="68"/>
      <c r="G24" s="7"/>
      <c r="H24" s="46"/>
      <c r="I24" s="7"/>
    </row>
    <row r="25">
      <c r="A25" s="7" t="s">
        <v>141</v>
      </c>
      <c r="B25" s="71" t="s">
        <v>176</v>
      </c>
      <c r="C25" s="67">
        <v>49.0</v>
      </c>
      <c r="D25" s="79" t="b">
        <v>1</v>
      </c>
      <c r="E25" s="67"/>
      <c r="F25" s="68"/>
      <c r="G25" s="7"/>
      <c r="H25" s="46"/>
      <c r="I25" s="7"/>
    </row>
    <row r="26">
      <c r="A26" s="7" t="s">
        <v>3</v>
      </c>
      <c r="B26" s="71" t="s">
        <v>179</v>
      </c>
      <c r="C26" s="67">
        <v>63.0</v>
      </c>
      <c r="D26" s="79" t="b">
        <v>1</v>
      </c>
      <c r="E26" s="67"/>
      <c r="F26" s="68"/>
      <c r="G26" s="7"/>
      <c r="H26" s="46"/>
      <c r="I26" s="7"/>
    </row>
    <row r="27">
      <c r="A27" s="7" t="s">
        <v>5</v>
      </c>
      <c r="B27" s="71" t="s">
        <v>182</v>
      </c>
      <c r="C27" s="67">
        <v>66.0</v>
      </c>
      <c r="D27" s="79" t="b">
        <v>0</v>
      </c>
      <c r="E27" s="67"/>
      <c r="F27" s="68"/>
      <c r="G27" s="7"/>
      <c r="H27" s="46"/>
      <c r="I27" s="7"/>
    </row>
    <row r="28">
      <c r="A28" s="7" t="s">
        <v>141</v>
      </c>
      <c r="B28" s="71" t="s">
        <v>173</v>
      </c>
      <c r="C28" s="67">
        <v>74.0</v>
      </c>
      <c r="D28" s="79" t="b">
        <v>1</v>
      </c>
      <c r="E28" s="67"/>
      <c r="F28" s="68"/>
      <c r="G28" s="7"/>
      <c r="H28" s="46"/>
      <c r="I28" s="7"/>
    </row>
    <row r="29">
      <c r="A29" s="7" t="s">
        <v>5</v>
      </c>
      <c r="B29" s="71" t="s">
        <v>187</v>
      </c>
      <c r="C29" s="67">
        <v>75.0</v>
      </c>
      <c r="D29" s="79" t="b">
        <v>0</v>
      </c>
      <c r="E29" s="75"/>
      <c r="F29" s="68"/>
      <c r="G29" s="7"/>
      <c r="H29" s="46"/>
      <c r="I29" s="7"/>
    </row>
    <row r="30">
      <c r="A30" s="7" t="s">
        <v>5</v>
      </c>
      <c r="B30" s="71" t="s">
        <v>190</v>
      </c>
      <c r="C30" s="67">
        <v>84.0</v>
      </c>
      <c r="D30" s="79" t="b">
        <v>0</v>
      </c>
      <c r="E30" s="68"/>
      <c r="F30" s="68"/>
      <c r="G30" s="7"/>
      <c r="H30" s="46"/>
      <c r="I30" s="7"/>
    </row>
    <row r="31">
      <c r="A31" s="7" t="s">
        <v>141</v>
      </c>
      <c r="B31" s="71" t="s">
        <v>193</v>
      </c>
      <c r="C31" s="67">
        <v>85.0</v>
      </c>
      <c r="D31" s="79" t="b">
        <v>1</v>
      </c>
      <c r="E31" s="71"/>
      <c r="F31" s="76"/>
      <c r="G31" s="7"/>
      <c r="H31" s="46"/>
      <c r="I31" s="7"/>
    </row>
    <row r="32">
      <c r="A32" s="7" t="s">
        <v>5</v>
      </c>
      <c r="B32" s="71" t="s">
        <v>194</v>
      </c>
      <c r="C32" s="67">
        <v>93.0</v>
      </c>
      <c r="D32" s="79" t="b">
        <v>0</v>
      </c>
      <c r="E32" s="71"/>
      <c r="F32" s="76"/>
      <c r="G32" s="7"/>
      <c r="H32" s="46"/>
      <c r="I32" s="7"/>
    </row>
    <row r="33">
      <c r="A33" s="7" t="s">
        <v>4</v>
      </c>
      <c r="B33" s="71" t="s">
        <v>195</v>
      </c>
      <c r="C33" s="67">
        <v>90.0</v>
      </c>
      <c r="D33" s="79" t="b">
        <v>0</v>
      </c>
      <c r="E33" s="71"/>
      <c r="F33" s="76"/>
      <c r="G33" s="7"/>
      <c r="H33" s="46"/>
      <c r="I33" s="7"/>
    </row>
    <row r="34">
      <c r="A34" s="5"/>
      <c r="B34" s="71"/>
      <c r="C34" s="25"/>
      <c r="D34" s="5"/>
      <c r="E34" s="77"/>
      <c r="F34" s="78"/>
      <c r="G34" s="46"/>
      <c r="H34" s="46"/>
      <c r="I34" s="46"/>
    </row>
    <row r="35">
      <c r="A35" s="46"/>
      <c r="B35" s="46"/>
      <c r="C35" s="77"/>
      <c r="D35" s="5"/>
      <c r="E35" s="77"/>
      <c r="F35" s="78"/>
      <c r="G35" s="46"/>
      <c r="H35" s="46"/>
      <c r="I35" s="46"/>
    </row>
    <row r="36">
      <c r="A36" s="46"/>
      <c r="B36" s="46"/>
      <c r="C36" s="77"/>
      <c r="D36" s="5"/>
      <c r="E36" s="77"/>
      <c r="F36" s="78"/>
      <c r="G36" s="46"/>
      <c r="H36" s="46"/>
      <c r="I36" s="46"/>
    </row>
    <row r="37">
      <c r="A37" s="46"/>
      <c r="B37" s="46"/>
      <c r="C37" s="77"/>
      <c r="D37" s="5"/>
      <c r="E37" s="77"/>
      <c r="F37" s="78"/>
      <c r="G37" s="46"/>
      <c r="H37" s="46"/>
      <c r="I37" s="46"/>
    </row>
    <row r="38">
      <c r="A38" s="46"/>
      <c r="B38" s="46"/>
      <c r="C38" s="77"/>
      <c r="D38" s="5"/>
      <c r="E38" s="77"/>
      <c r="F38" s="78"/>
      <c r="G38" s="46"/>
      <c r="H38" s="46"/>
      <c r="I38" s="46"/>
    </row>
    <row r="39">
      <c r="A39" s="46"/>
      <c r="B39" s="46"/>
      <c r="C39" s="77"/>
      <c r="D39" s="5"/>
      <c r="E39" s="77"/>
      <c r="F39" s="78"/>
      <c r="G39" s="46"/>
      <c r="H39" s="46"/>
      <c r="I39" s="46"/>
    </row>
    <row r="40">
      <c r="A40" s="46"/>
      <c r="B40" s="46"/>
      <c r="C40" s="77"/>
      <c r="D40" s="5"/>
      <c r="E40" s="77"/>
      <c r="F40" s="78"/>
      <c r="G40" s="46"/>
      <c r="H40" s="46"/>
      <c r="I40" s="46"/>
    </row>
    <row r="41">
      <c r="A41" s="46"/>
      <c r="B41" s="46"/>
      <c r="C41" s="77"/>
      <c r="D41" s="5"/>
      <c r="E41" s="75"/>
      <c r="F41" s="68"/>
      <c r="G41" s="5"/>
      <c r="H41" s="46"/>
      <c r="I41" s="5"/>
    </row>
    <row r="42">
      <c r="A42" s="46"/>
      <c r="B42" s="46"/>
      <c r="C42" s="77"/>
      <c r="D42" s="5"/>
      <c r="E42" s="75"/>
      <c r="F42" s="68"/>
      <c r="G42" s="5"/>
      <c r="H42" s="46"/>
      <c r="I42" s="5"/>
    </row>
    <row r="43">
      <c r="A43" s="46"/>
      <c r="B43" s="46"/>
      <c r="C43" s="46"/>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93</v>
      </c>
      <c r="B2" s="7" t="s">
        <v>108</v>
      </c>
      <c r="C2" s="67">
        <f t="shared" ref="C2:C6" si="1">COUNTIF(I:I,A2)</f>
        <v>3</v>
      </c>
      <c r="D2" s="17">
        <f t="shared" ref="D2:D6" si="2">C2/COUNTA(I$2:I1000)</f>
        <v>0.125</v>
      </c>
      <c r="E2" s="77">
        <v>1.623503802E9</v>
      </c>
      <c r="F2" s="68">
        <f>IFERROR(__xludf.DUMMYFUNCTION("INDEX(SPLIT(E2, char(10)), 0, 1)/86400+date(1970,1,1)"),44359.55326388888)</f>
        <v>44359.55326</v>
      </c>
      <c r="G2" s="46" t="s">
        <v>231</v>
      </c>
      <c r="H2" s="46" t="s">
        <v>232</v>
      </c>
      <c r="I2" s="46" t="s">
        <v>14</v>
      </c>
    </row>
    <row r="3">
      <c r="A3" s="7" t="s">
        <v>11</v>
      </c>
      <c r="B3" s="7" t="s">
        <v>111</v>
      </c>
      <c r="C3" s="67">
        <f t="shared" si="1"/>
        <v>2</v>
      </c>
      <c r="D3" s="17">
        <f t="shared" si="2"/>
        <v>0.08333333333</v>
      </c>
      <c r="E3" s="77">
        <v>1.623503922E9</v>
      </c>
      <c r="F3" s="68">
        <f>IFERROR(__xludf.DUMMYFUNCTION("INDEX(SPLIT(E3, char(10)), 0, 1)/86400+date(1970,1,1)"),44359.55465277778)</f>
        <v>44359.55465</v>
      </c>
      <c r="G3" s="46" t="s">
        <v>233</v>
      </c>
      <c r="H3" s="46" t="s">
        <v>234</v>
      </c>
      <c r="I3" s="46" t="s">
        <v>14</v>
      </c>
    </row>
    <row r="4">
      <c r="A4" s="7" t="s">
        <v>12</v>
      </c>
      <c r="B4" s="7" t="s">
        <v>114</v>
      </c>
      <c r="C4" s="67">
        <f t="shared" si="1"/>
        <v>3</v>
      </c>
      <c r="D4" s="17">
        <f t="shared" si="2"/>
        <v>0.125</v>
      </c>
      <c r="E4" s="77">
        <v>1.623504737E9</v>
      </c>
      <c r="F4" s="68">
        <f>IFERROR(__xludf.DUMMYFUNCTION("INDEX(SPLIT(E4, char(10)), 0, 1)/86400+date(1970,1,1)"),44359.56408564815)</f>
        <v>44359.56409</v>
      </c>
      <c r="G4" s="46" t="s">
        <v>235</v>
      </c>
      <c r="H4" s="46" t="s">
        <v>236</v>
      </c>
      <c r="I4" s="46" t="s">
        <v>14</v>
      </c>
    </row>
    <row r="5">
      <c r="A5" s="7" t="s">
        <v>13</v>
      </c>
      <c r="B5" s="7" t="s">
        <v>117</v>
      </c>
      <c r="C5" s="67">
        <f t="shared" si="1"/>
        <v>7</v>
      </c>
      <c r="D5" s="17">
        <f t="shared" si="2"/>
        <v>0.2916666667</v>
      </c>
      <c r="E5" s="77">
        <v>1.623504981E9</v>
      </c>
      <c r="F5" s="68">
        <f>IFERROR(__xludf.DUMMYFUNCTION("INDEX(SPLIT(E5, char(10)), 0, 1)/86400+date(1970,1,1)"),44359.56690972223)</f>
        <v>44359.56691</v>
      </c>
      <c r="G5" s="46" t="s">
        <v>237</v>
      </c>
      <c r="H5" s="46" t="s">
        <v>126</v>
      </c>
      <c r="I5" s="46" t="s">
        <v>14</v>
      </c>
    </row>
    <row r="6">
      <c r="A6" s="7" t="s">
        <v>14</v>
      </c>
      <c r="B6" s="7" t="s">
        <v>120</v>
      </c>
      <c r="C6" s="67">
        <f t="shared" si="1"/>
        <v>9</v>
      </c>
      <c r="D6" s="17">
        <f t="shared" si="2"/>
        <v>0.375</v>
      </c>
      <c r="E6" s="77">
        <v>1.623505672E9</v>
      </c>
      <c r="F6" s="68">
        <f>IFERROR(__xludf.DUMMYFUNCTION("INDEX(SPLIT(E6, char(10)), 0, 1)/86400+date(1970,1,1)"),44359.57490740741)</f>
        <v>44359.57491</v>
      </c>
      <c r="G6" s="46" t="s">
        <v>238</v>
      </c>
      <c r="H6" s="46" t="s">
        <v>239</v>
      </c>
      <c r="I6" s="46" t="s">
        <v>14</v>
      </c>
    </row>
    <row r="7">
      <c r="A7" s="5"/>
      <c r="B7" s="7" t="s">
        <v>10</v>
      </c>
      <c r="C7" s="23">
        <f t="shared" ref="C7:D7" si="3">SUM(C2:C6)</f>
        <v>24</v>
      </c>
      <c r="D7" s="70">
        <f t="shared" si="3"/>
        <v>1</v>
      </c>
      <c r="E7" s="77">
        <v>1.623505777E9</v>
      </c>
      <c r="F7" s="68">
        <f>IFERROR(__xludf.DUMMYFUNCTION("INDEX(SPLIT(E7, char(10)), 0, 1)/86400+date(1970,1,1)"),44359.57612268519)</f>
        <v>44359.57612</v>
      </c>
      <c r="G7" s="46" t="s">
        <v>240</v>
      </c>
      <c r="H7" s="46" t="s">
        <v>241</v>
      </c>
      <c r="I7" s="46" t="s">
        <v>12</v>
      </c>
    </row>
    <row r="8">
      <c r="A8" s="71"/>
      <c r="B8" s="7" t="s">
        <v>15</v>
      </c>
      <c r="C8" s="67">
        <f t="shared" ref="C8:D8" si="4">SUM(C5:C6)</f>
        <v>16</v>
      </c>
      <c r="D8" s="17">
        <f t="shared" si="4"/>
        <v>0.6666666667</v>
      </c>
      <c r="E8" s="77">
        <v>1.623506897E9</v>
      </c>
      <c r="F8" s="68">
        <f>IFERROR(__xludf.DUMMYFUNCTION("INDEX(SPLIT(E8, char(10)), 0, 1)/86400+date(1970,1,1)"),44359.58908564815)</f>
        <v>44359.58909</v>
      </c>
      <c r="G8" s="46" t="s">
        <v>242</v>
      </c>
      <c r="H8" s="46" t="s">
        <v>243</v>
      </c>
      <c r="I8" s="46" t="s">
        <v>13</v>
      </c>
    </row>
    <row r="9">
      <c r="A9" s="71"/>
      <c r="B9" s="7" t="s">
        <v>127</v>
      </c>
      <c r="C9" s="67">
        <f>SUM(C6:C7)</f>
        <v>33</v>
      </c>
      <c r="D9" s="17">
        <f>SUM(D5:D6) + D2</f>
        <v>0.7916666667</v>
      </c>
      <c r="E9" s="77">
        <v>1.623506995E9</v>
      </c>
      <c r="F9" s="68">
        <f>IFERROR(__xludf.DUMMYFUNCTION("INDEX(SPLIT(E9, char(10)), 0, 1)/86400+date(1970,1,1)"),44359.590219907404)</f>
        <v>44359.59022</v>
      </c>
      <c r="G9" s="46" t="s">
        <v>244</v>
      </c>
      <c r="H9" s="46" t="s">
        <v>245</v>
      </c>
      <c r="I9" s="46" t="s">
        <v>93</v>
      </c>
    </row>
    <row r="10">
      <c r="A10" s="71"/>
      <c r="B10" s="71"/>
      <c r="C10" s="71"/>
      <c r="D10" s="71"/>
      <c r="E10" s="77">
        <v>1.623507123E9</v>
      </c>
      <c r="F10" s="68">
        <f>IFERROR(__xludf.DUMMYFUNCTION("INDEX(SPLIT(E10, char(10)), 0, 1)/86400+date(1970,1,1)"),44359.59170138889)</f>
        <v>44359.5917</v>
      </c>
      <c r="G10" s="46" t="s">
        <v>246</v>
      </c>
      <c r="H10" s="46" t="s">
        <v>247</v>
      </c>
      <c r="I10" s="46" t="s">
        <v>14</v>
      </c>
    </row>
    <row r="11">
      <c r="A11" s="71"/>
      <c r="B11" s="71"/>
      <c r="C11" s="71"/>
      <c r="D11" s="71"/>
      <c r="E11" s="77">
        <v>1.623507266E9</v>
      </c>
      <c r="F11" s="68">
        <f>IFERROR(__xludf.DUMMYFUNCTION("INDEX(SPLIT(E11, char(10)), 0, 1)/86400+date(1970,1,1)"),44359.59335648148)</f>
        <v>44359.59336</v>
      </c>
      <c r="G11" s="46" t="s">
        <v>248</v>
      </c>
      <c r="H11" s="46" t="s">
        <v>249</v>
      </c>
      <c r="I11" s="46" t="s">
        <v>11</v>
      </c>
    </row>
    <row r="12">
      <c r="A12" s="1" t="s">
        <v>134</v>
      </c>
      <c r="B12" s="72" t="s">
        <v>250</v>
      </c>
      <c r="C12" s="71"/>
      <c r="D12" s="71"/>
      <c r="E12" s="77">
        <v>1.623507488E9</v>
      </c>
      <c r="F12" s="68">
        <f>IFERROR(__xludf.DUMMYFUNCTION("INDEX(SPLIT(E12, char(10)), 0, 1)/86400+date(1970,1,1)"),44359.595925925925)</f>
        <v>44359.59593</v>
      </c>
      <c r="G12" s="46" t="s">
        <v>251</v>
      </c>
      <c r="H12" s="46" t="s">
        <v>252</v>
      </c>
      <c r="I12" s="46" t="s">
        <v>93</v>
      </c>
    </row>
    <row r="13">
      <c r="A13" s="1" t="s">
        <v>138</v>
      </c>
      <c r="B13" s="71"/>
      <c r="C13" s="1" t="s">
        <v>101</v>
      </c>
      <c r="D13" s="1" t="s">
        <v>102</v>
      </c>
      <c r="E13" s="77">
        <v>1.623507688E9</v>
      </c>
      <c r="F13" s="68">
        <f>IFERROR(__xludf.DUMMYFUNCTION("INDEX(SPLIT(E13, char(10)), 0, 1)/86400+date(1970,1,1)"),44359.59824074074)</f>
        <v>44359.59824</v>
      </c>
      <c r="G13" s="46" t="s">
        <v>253</v>
      </c>
      <c r="H13" s="46" t="s">
        <v>254</v>
      </c>
      <c r="I13" s="46" t="s">
        <v>12</v>
      </c>
    </row>
    <row r="14">
      <c r="A14" s="7" t="s">
        <v>141</v>
      </c>
      <c r="B14" s="7" t="s">
        <v>142</v>
      </c>
      <c r="C14" s="23">
        <f t="shared" ref="C14:C17" si="5">COUNTIF($A$19:$A1000, A14)</f>
        <v>3</v>
      </c>
      <c r="D14" s="17">
        <f>IFERROR(__xludf.DUMMYFUNCTION("IF(C14, COUNTIF(FILTER($D$20:$D1000, $A$20:$A1000=A14), TRUE)/C14, 0)"),1.0)</f>
        <v>1</v>
      </c>
      <c r="E14" s="77">
        <v>1.623507812E9</v>
      </c>
      <c r="F14" s="68">
        <f>IFERROR(__xludf.DUMMYFUNCTION("INDEX(SPLIT(E14, char(10)), 0, 1)/86400+date(1970,1,1)"),44359.59967592593)</f>
        <v>44359.59968</v>
      </c>
      <c r="G14" s="46" t="s">
        <v>255</v>
      </c>
      <c r="H14" s="46" t="s">
        <v>256</v>
      </c>
      <c r="I14" s="46" t="s">
        <v>13</v>
      </c>
    </row>
    <row r="15">
      <c r="A15" s="7" t="s">
        <v>3</v>
      </c>
      <c r="B15" s="7" t="s">
        <v>145</v>
      </c>
      <c r="C15" s="23">
        <f t="shared" si="5"/>
        <v>3</v>
      </c>
      <c r="D15" s="17">
        <f>IFERROR(__xludf.DUMMYFUNCTION("IF(C15, COUNTIF(FILTER($D$20:$D1000, $A$20:$A1000=A15), TRUE)/C15, 0)"),0.3333333333333333)</f>
        <v>0.3333333333</v>
      </c>
      <c r="E15" s="77">
        <v>1.62350796E9</v>
      </c>
      <c r="F15" s="68">
        <f>IFERROR(__xludf.DUMMYFUNCTION("INDEX(SPLIT(E15, char(10)), 0, 1)/86400+date(1970,1,1)"),44359.601388888885)</f>
        <v>44359.60139</v>
      </c>
      <c r="G15" s="46" t="s">
        <v>257</v>
      </c>
      <c r="H15" s="46" t="s">
        <v>258</v>
      </c>
      <c r="I15" s="46" t="s">
        <v>13</v>
      </c>
    </row>
    <row r="16">
      <c r="A16" s="7" t="s">
        <v>4</v>
      </c>
      <c r="B16" s="7" t="s">
        <v>148</v>
      </c>
      <c r="C16" s="23">
        <f t="shared" si="5"/>
        <v>4</v>
      </c>
      <c r="D16" s="17">
        <f>IFERROR(__xludf.DUMMYFUNCTION("IF(C16, COUNTIF(FILTER($D$20:$D1000, $A$20:$A1000=A16), TRUE)/C16, 0)"),0.25)</f>
        <v>0.25</v>
      </c>
      <c r="E16" s="77">
        <v>1.623508428E9</v>
      </c>
      <c r="F16" s="68">
        <f>IFERROR(__xludf.DUMMYFUNCTION("INDEX(SPLIT(E16, char(10)), 0, 1)/86400+date(1970,1,1)"),44359.60680555555)</f>
        <v>44359.60681</v>
      </c>
      <c r="G16" s="46" t="s">
        <v>259</v>
      </c>
      <c r="H16" s="46" t="s">
        <v>260</v>
      </c>
      <c r="I16" s="46" t="s">
        <v>13</v>
      </c>
    </row>
    <row r="17">
      <c r="A17" s="7" t="s">
        <v>5</v>
      </c>
      <c r="B17" s="7" t="s">
        <v>151</v>
      </c>
      <c r="C17" s="23">
        <f t="shared" si="5"/>
        <v>4</v>
      </c>
      <c r="D17" s="17">
        <f>IFERROR(__xludf.DUMMYFUNCTION("IF(C17, COUNTIF(FILTER($D$20:$D1000, $A$20:$A1000=A17), TRUE)/C17, 0)"),0.5)</f>
        <v>0.5</v>
      </c>
      <c r="E17" s="77">
        <v>1.623508523E9</v>
      </c>
      <c r="F17" s="68">
        <f>IFERROR(__xludf.DUMMYFUNCTION("INDEX(SPLIT(E17, char(10)), 0, 1)/86400+date(1970,1,1)"),44359.60790509259)</f>
        <v>44359.60791</v>
      </c>
      <c r="G17" s="46" t="s">
        <v>261</v>
      </c>
      <c r="H17" s="46" t="s">
        <v>262</v>
      </c>
      <c r="I17" s="46" t="s">
        <v>11</v>
      </c>
    </row>
    <row r="18">
      <c r="A18" s="71"/>
      <c r="B18" s="1" t="s">
        <v>6</v>
      </c>
      <c r="C18" s="23">
        <f>SUM(C14:C17)</f>
        <v>14</v>
      </c>
      <c r="D18" s="17">
        <f>COUNTIF($D$19:$D1000, TRUE)/SUM($C$14:$C$17)</f>
        <v>0.5</v>
      </c>
      <c r="E18" s="77">
        <v>1.623508627E9</v>
      </c>
      <c r="F18" s="68">
        <f>IFERROR(__xludf.DUMMYFUNCTION("INDEX(SPLIT(E18, char(10)), 0, 1)/86400+date(1970,1,1)"),44359.6091087963)</f>
        <v>44359.60911</v>
      </c>
      <c r="G18" s="46" t="s">
        <v>263</v>
      </c>
      <c r="H18" s="46" t="s">
        <v>264</v>
      </c>
      <c r="I18" s="46" t="s">
        <v>13</v>
      </c>
    </row>
    <row r="19">
      <c r="A19" s="1" t="s">
        <v>107</v>
      </c>
      <c r="B19" s="1" t="s">
        <v>156</v>
      </c>
      <c r="C19" s="1" t="s">
        <v>157</v>
      </c>
      <c r="D19" s="1" t="s">
        <v>158</v>
      </c>
      <c r="E19" s="77">
        <v>1.62350896E9</v>
      </c>
      <c r="F19" s="68">
        <f>IFERROR(__xludf.DUMMYFUNCTION("INDEX(SPLIT(E19, char(10)), 0, 1)/86400+date(1970,1,1)"),44359.61296296296)</f>
        <v>44359.61296</v>
      </c>
      <c r="G19" s="46" t="s">
        <v>265</v>
      </c>
      <c r="H19" s="46" t="s">
        <v>266</v>
      </c>
      <c r="I19" s="46" t="s">
        <v>14</v>
      </c>
    </row>
    <row r="20">
      <c r="A20" s="7" t="s">
        <v>4</v>
      </c>
      <c r="B20" s="7" t="s">
        <v>161</v>
      </c>
      <c r="C20" s="67">
        <v>1.0</v>
      </c>
      <c r="D20" s="79" t="b">
        <v>0</v>
      </c>
      <c r="E20" s="77">
        <v>1.623509091E9</v>
      </c>
      <c r="F20" s="68">
        <f>IFERROR(__xludf.DUMMYFUNCTION("INDEX(SPLIT(E20, char(10)), 0, 1)/86400+date(1970,1,1)"),44359.61447916667)</f>
        <v>44359.61448</v>
      </c>
      <c r="G20" s="46" t="s">
        <v>267</v>
      </c>
      <c r="H20" s="46" t="s">
        <v>268</v>
      </c>
      <c r="I20" s="46" t="s">
        <v>13</v>
      </c>
    </row>
    <row r="21">
      <c r="A21" s="7" t="s">
        <v>3</v>
      </c>
      <c r="B21" s="7" t="s">
        <v>164</v>
      </c>
      <c r="C21" s="67">
        <v>30.0</v>
      </c>
      <c r="D21" s="79" t="b">
        <v>0</v>
      </c>
      <c r="E21" s="77">
        <v>1.623509261E9</v>
      </c>
      <c r="F21" s="68">
        <f>IFERROR(__xludf.DUMMYFUNCTION("INDEX(SPLIT(E21, char(10)), 0, 1)/86400+date(1970,1,1)"),44359.61644675926)</f>
        <v>44359.61645</v>
      </c>
      <c r="G21" s="46" t="s">
        <v>269</v>
      </c>
      <c r="H21" s="46" t="s">
        <v>270</v>
      </c>
      <c r="I21" s="46" t="s">
        <v>93</v>
      </c>
    </row>
    <row r="22">
      <c r="A22" s="7" t="s">
        <v>4</v>
      </c>
      <c r="B22" s="7" t="s">
        <v>167</v>
      </c>
      <c r="C22" s="67">
        <v>45.0</v>
      </c>
      <c r="D22" s="79" t="b">
        <v>0</v>
      </c>
      <c r="E22" s="77">
        <v>1.62350941E9</v>
      </c>
      <c r="F22" s="68">
        <f>IFERROR(__xludf.DUMMYFUNCTION("INDEX(SPLIT(E22, char(10)), 0, 1)/86400+date(1970,1,1)"),44359.6181712963)</f>
        <v>44359.61817</v>
      </c>
      <c r="G22" s="46" t="s">
        <v>271</v>
      </c>
      <c r="H22" s="46" t="s">
        <v>272</v>
      </c>
      <c r="I22" s="46" t="s">
        <v>14</v>
      </c>
    </row>
    <row r="23">
      <c r="A23" s="7" t="s">
        <v>4</v>
      </c>
      <c r="B23" s="7" t="s">
        <v>170</v>
      </c>
      <c r="C23" s="67">
        <v>45.0</v>
      </c>
      <c r="D23" s="79" t="b">
        <v>0</v>
      </c>
      <c r="E23" s="77">
        <v>1.623509528E9</v>
      </c>
      <c r="F23" s="68">
        <f>IFERROR(__xludf.DUMMYFUNCTION("INDEX(SPLIT(E23, char(10)), 0, 1)/86400+date(1970,1,1)"),44359.61953703704)</f>
        <v>44359.61954</v>
      </c>
      <c r="G23" s="46" t="s">
        <v>273</v>
      </c>
      <c r="H23" s="46" t="s">
        <v>274</v>
      </c>
      <c r="I23" s="46" t="s">
        <v>14</v>
      </c>
    </row>
    <row r="24">
      <c r="A24" s="7" t="s">
        <v>3</v>
      </c>
      <c r="B24" s="7" t="s">
        <v>173</v>
      </c>
      <c r="C24" s="67">
        <v>47.0</v>
      </c>
      <c r="D24" s="79" t="b">
        <v>0</v>
      </c>
      <c r="E24" s="77">
        <v>1.623509623E9</v>
      </c>
      <c r="F24" s="68">
        <f>IFERROR(__xludf.DUMMYFUNCTION("INDEX(SPLIT(E24, char(10)), 0, 1)/86400+date(1970,1,1)"),44359.62063657407)</f>
        <v>44359.62064</v>
      </c>
      <c r="G24" s="46" t="s">
        <v>275</v>
      </c>
      <c r="H24" s="46" t="s">
        <v>276</v>
      </c>
      <c r="I24" s="46" t="s">
        <v>12</v>
      </c>
    </row>
    <row r="25">
      <c r="A25" s="7" t="s">
        <v>141</v>
      </c>
      <c r="B25" s="71" t="s">
        <v>176</v>
      </c>
      <c r="C25" s="67">
        <v>49.0</v>
      </c>
      <c r="D25" s="79" t="b">
        <v>1</v>
      </c>
      <c r="E25" s="77">
        <v>1.623509834E9</v>
      </c>
      <c r="F25" s="68">
        <f>IFERROR(__xludf.DUMMYFUNCTION("INDEX(SPLIT(E25, char(10)), 0, 1)/86400+date(1970,1,1)"),44359.623078703706)</f>
        <v>44359.62308</v>
      </c>
      <c r="G25" s="46" t="s">
        <v>277</v>
      </c>
      <c r="H25" s="46" t="s">
        <v>278</v>
      </c>
      <c r="I25" s="46" t="s">
        <v>13</v>
      </c>
    </row>
    <row r="26">
      <c r="A26" s="7" t="s">
        <v>3</v>
      </c>
      <c r="B26" s="71" t="s">
        <v>179</v>
      </c>
      <c r="C26" s="67">
        <v>63.0</v>
      </c>
      <c r="D26" s="79" t="b">
        <v>1</v>
      </c>
      <c r="E26" s="67"/>
      <c r="F26" s="68"/>
      <c r="G26" s="7"/>
      <c r="H26" s="46"/>
      <c r="I26" s="7"/>
    </row>
    <row r="27">
      <c r="A27" s="7" t="s">
        <v>5</v>
      </c>
      <c r="B27" s="71" t="s">
        <v>182</v>
      </c>
      <c r="C27" s="67">
        <v>66.0</v>
      </c>
      <c r="D27" s="79" t="b">
        <v>1</v>
      </c>
      <c r="E27" s="67"/>
      <c r="F27" s="68"/>
      <c r="G27" s="7"/>
      <c r="H27" s="46"/>
      <c r="I27" s="7"/>
    </row>
    <row r="28">
      <c r="A28" s="7" t="s">
        <v>141</v>
      </c>
      <c r="B28" s="71" t="s">
        <v>173</v>
      </c>
      <c r="C28" s="67">
        <v>74.0</v>
      </c>
      <c r="D28" s="79" t="b">
        <v>1</v>
      </c>
      <c r="E28" s="67"/>
      <c r="F28" s="68"/>
      <c r="G28" s="7"/>
      <c r="H28" s="46"/>
      <c r="I28" s="7"/>
    </row>
    <row r="29">
      <c r="A29" s="7" t="s">
        <v>5</v>
      </c>
      <c r="B29" s="71" t="s">
        <v>187</v>
      </c>
      <c r="C29" s="67">
        <v>75.0</v>
      </c>
      <c r="D29" s="79" t="b">
        <v>1</v>
      </c>
      <c r="E29" s="75"/>
      <c r="F29" s="68"/>
      <c r="G29" s="7"/>
      <c r="H29" s="46"/>
      <c r="I29" s="7"/>
    </row>
    <row r="30">
      <c r="A30" s="7" t="s">
        <v>5</v>
      </c>
      <c r="B30" s="71" t="s">
        <v>190</v>
      </c>
      <c r="C30" s="67">
        <v>84.0</v>
      </c>
      <c r="D30" s="79" t="b">
        <v>0</v>
      </c>
      <c r="E30" s="68"/>
      <c r="F30" s="68"/>
      <c r="G30" s="7"/>
      <c r="H30" s="46"/>
      <c r="I30" s="7"/>
    </row>
    <row r="31">
      <c r="A31" s="7" t="s">
        <v>141</v>
      </c>
      <c r="B31" s="71" t="s">
        <v>193</v>
      </c>
      <c r="C31" s="67">
        <v>85.0</v>
      </c>
      <c r="D31" s="79" t="b">
        <v>1</v>
      </c>
      <c r="E31" s="71"/>
      <c r="F31" s="76"/>
      <c r="G31" s="7"/>
      <c r="H31" s="46"/>
      <c r="I31" s="7"/>
    </row>
    <row r="32">
      <c r="A32" s="7" t="s">
        <v>5</v>
      </c>
      <c r="B32" s="71" t="s">
        <v>194</v>
      </c>
      <c r="C32" s="67">
        <v>93.0</v>
      </c>
      <c r="D32" s="79" t="b">
        <v>0</v>
      </c>
      <c r="E32" s="71"/>
      <c r="F32" s="76"/>
      <c r="G32" s="7"/>
      <c r="H32" s="46"/>
      <c r="I32" s="7"/>
    </row>
    <row r="33">
      <c r="A33" s="7" t="s">
        <v>4</v>
      </c>
      <c r="B33" s="71" t="s">
        <v>195</v>
      </c>
      <c r="C33" s="67">
        <v>90.0</v>
      </c>
      <c r="D33" s="79" t="b">
        <v>1</v>
      </c>
      <c r="E33" s="71"/>
      <c r="F33" s="76"/>
      <c r="G33" s="7"/>
      <c r="H33" s="46"/>
      <c r="I33" s="7"/>
    </row>
    <row r="34">
      <c r="A34" s="5"/>
      <c r="B34" s="71"/>
      <c r="C34" s="25"/>
      <c r="D34" s="5"/>
      <c r="E34" s="77"/>
      <c r="F34" s="78"/>
      <c r="G34" s="46"/>
      <c r="H34" s="46"/>
      <c r="I34" s="46"/>
    </row>
    <row r="35">
      <c r="A35" s="46"/>
      <c r="B35" s="46"/>
      <c r="C35" s="77"/>
      <c r="D35" s="5"/>
      <c r="E35" s="77"/>
      <c r="F35" s="78"/>
      <c r="G35" s="46"/>
      <c r="H35" s="46"/>
      <c r="I35" s="46"/>
    </row>
    <row r="36">
      <c r="A36" s="46"/>
      <c r="B36" s="46"/>
      <c r="C36" s="77"/>
      <c r="D36" s="5"/>
      <c r="E36" s="77"/>
      <c r="F36" s="78"/>
      <c r="G36" s="46"/>
      <c r="H36" s="46"/>
      <c r="I36" s="46"/>
    </row>
    <row r="37">
      <c r="A37" s="46"/>
      <c r="B37" s="46"/>
      <c r="C37" s="77"/>
      <c r="D37" s="5"/>
      <c r="E37" s="77"/>
      <c r="F37" s="78"/>
      <c r="G37" s="46"/>
      <c r="H37" s="46"/>
      <c r="I37" s="46"/>
    </row>
    <row r="38">
      <c r="A38" s="46"/>
      <c r="B38" s="46"/>
      <c r="C38" s="77"/>
      <c r="D38" s="5"/>
      <c r="E38" s="77"/>
      <c r="F38" s="78"/>
      <c r="G38" s="46"/>
      <c r="H38" s="46"/>
      <c r="I38" s="46"/>
    </row>
    <row r="39">
      <c r="A39" s="46"/>
      <c r="B39" s="46"/>
      <c r="C39" s="77"/>
      <c r="D39" s="5"/>
      <c r="E39" s="77"/>
      <c r="F39" s="78"/>
      <c r="G39" s="46"/>
      <c r="H39" s="46"/>
      <c r="I39" s="46"/>
    </row>
    <row r="40">
      <c r="A40" s="46"/>
      <c r="B40" s="46"/>
      <c r="C40" s="77"/>
      <c r="D40" s="5"/>
      <c r="E40" s="77"/>
      <c r="F40" s="78"/>
      <c r="G40" s="46"/>
      <c r="H40" s="46"/>
      <c r="I40" s="46"/>
    </row>
    <row r="41">
      <c r="A41" s="46"/>
      <c r="B41" s="46"/>
      <c r="C41" s="77"/>
      <c r="D41" s="5"/>
      <c r="E41" s="75"/>
      <c r="F41" s="68"/>
      <c r="G41" s="5"/>
      <c r="H41" s="46"/>
      <c r="I41" s="5"/>
    </row>
    <row r="42">
      <c r="A42" s="46"/>
      <c r="B42" s="46"/>
      <c r="C42" s="77"/>
      <c r="D42" s="5"/>
      <c r="E42" s="75"/>
      <c r="F42" s="68"/>
      <c r="G42" s="5"/>
      <c r="H42" s="46"/>
      <c r="I42" s="5"/>
    </row>
    <row r="43">
      <c r="A43" s="46"/>
      <c r="B43" s="46"/>
      <c r="C43" s="46"/>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1" t="s">
        <v>99</v>
      </c>
      <c r="B1" s="65" t="s">
        <v>100</v>
      </c>
      <c r="C1" s="11" t="s">
        <v>101</v>
      </c>
      <c r="D1" s="11" t="s">
        <v>102</v>
      </c>
      <c r="E1" s="11" t="s">
        <v>103</v>
      </c>
      <c r="F1" s="11" t="s">
        <v>104</v>
      </c>
      <c r="G1" s="11" t="s">
        <v>105</v>
      </c>
      <c r="H1" s="11" t="s">
        <v>106</v>
      </c>
      <c r="I1" s="11" t="s">
        <v>107</v>
      </c>
    </row>
    <row r="2">
      <c r="A2" s="46" t="s">
        <v>93</v>
      </c>
      <c r="B2" s="46" t="s">
        <v>108</v>
      </c>
      <c r="C2" s="67">
        <f t="shared" ref="C2:C6" si="1">COUNTIF(I:I,A2)</f>
        <v>1</v>
      </c>
      <c r="D2" s="17">
        <f t="shared" ref="D2:D6" si="2">C2/COUNTA(I$2:I1000)</f>
        <v>0.02564102564</v>
      </c>
      <c r="E2" s="77">
        <v>1.623502877E9</v>
      </c>
      <c r="F2" s="78">
        <v>44359.54255787037</v>
      </c>
      <c r="G2" s="46" t="s">
        <v>279</v>
      </c>
      <c r="H2" s="46" t="s">
        <v>280</v>
      </c>
      <c r="I2" s="46" t="s">
        <v>13</v>
      </c>
    </row>
    <row r="3">
      <c r="A3" s="46" t="s">
        <v>11</v>
      </c>
      <c r="B3" s="46" t="s">
        <v>111</v>
      </c>
      <c r="C3" s="67">
        <f t="shared" si="1"/>
        <v>3</v>
      </c>
      <c r="D3" s="17">
        <f t="shared" si="2"/>
        <v>0.07692307692</v>
      </c>
      <c r="E3" s="77">
        <v>1.62350385E9</v>
      </c>
      <c r="F3" s="78">
        <v>44359.553819444445</v>
      </c>
      <c r="G3" s="46" t="s">
        <v>281</v>
      </c>
      <c r="H3" s="46" t="s">
        <v>282</v>
      </c>
      <c r="I3" s="46" t="s">
        <v>14</v>
      </c>
    </row>
    <row r="4">
      <c r="A4" s="46" t="s">
        <v>12</v>
      </c>
      <c r="B4" s="46" t="s">
        <v>114</v>
      </c>
      <c r="C4" s="67">
        <f t="shared" si="1"/>
        <v>5</v>
      </c>
      <c r="D4" s="17">
        <f t="shared" si="2"/>
        <v>0.1282051282</v>
      </c>
      <c r="E4" s="77">
        <v>1.623504162E9</v>
      </c>
      <c r="F4" s="78">
        <v>44359.55743055556</v>
      </c>
      <c r="G4" s="46" t="s">
        <v>283</v>
      </c>
      <c r="H4" s="46" t="s">
        <v>284</v>
      </c>
      <c r="I4" s="46" t="s">
        <v>14</v>
      </c>
    </row>
    <row r="5">
      <c r="A5" s="46" t="s">
        <v>13</v>
      </c>
      <c r="B5" s="46" t="s">
        <v>117</v>
      </c>
      <c r="C5" s="67">
        <f t="shared" si="1"/>
        <v>8</v>
      </c>
      <c r="D5" s="17">
        <f t="shared" si="2"/>
        <v>0.2051282051</v>
      </c>
      <c r="E5" s="77">
        <v>1.623504254E9</v>
      </c>
      <c r="F5" s="78">
        <v>44359.55849537037</v>
      </c>
      <c r="G5" s="46" t="s">
        <v>285</v>
      </c>
      <c r="H5" s="46" t="s">
        <v>286</v>
      </c>
      <c r="I5" s="46" t="s">
        <v>14</v>
      </c>
    </row>
    <row r="6">
      <c r="A6" s="46" t="s">
        <v>14</v>
      </c>
      <c r="B6" s="46" t="s">
        <v>120</v>
      </c>
      <c r="C6" s="67">
        <f t="shared" si="1"/>
        <v>22</v>
      </c>
      <c r="D6" s="17">
        <f t="shared" si="2"/>
        <v>0.5641025641</v>
      </c>
      <c r="E6" s="77">
        <v>1.623504437E9</v>
      </c>
      <c r="F6" s="78">
        <v>44359.56061342593</v>
      </c>
      <c r="G6" s="46" t="s">
        <v>287</v>
      </c>
      <c r="H6" s="46" t="s">
        <v>288</v>
      </c>
      <c r="I6" s="46" t="s">
        <v>12</v>
      </c>
    </row>
    <row r="7">
      <c r="A7" s="5"/>
      <c r="B7" s="46" t="s">
        <v>10</v>
      </c>
      <c r="C7" s="23">
        <f t="shared" ref="C7:D7" si="3">SUM(C2:C6)</f>
        <v>39</v>
      </c>
      <c r="D7" s="70">
        <f t="shared" si="3"/>
        <v>1</v>
      </c>
      <c r="E7" s="77">
        <v>1.62350457E9</v>
      </c>
      <c r="F7" s="78">
        <v>44359.56215277778</v>
      </c>
      <c r="G7" s="46" t="s">
        <v>289</v>
      </c>
      <c r="H7" s="46" t="s">
        <v>290</v>
      </c>
      <c r="I7" s="46" t="s">
        <v>12</v>
      </c>
    </row>
    <row r="8">
      <c r="A8" s="71"/>
      <c r="B8" s="46" t="s">
        <v>15</v>
      </c>
      <c r="C8" s="67">
        <f t="shared" ref="C8:D8" si="4">SUM(C5:C6)</f>
        <v>30</v>
      </c>
      <c r="D8" s="17">
        <f t="shared" si="4"/>
        <v>0.7692307692</v>
      </c>
      <c r="E8" s="77">
        <v>1.623504705E9</v>
      </c>
      <c r="F8" s="78">
        <v>44359.56371527778</v>
      </c>
      <c r="G8" s="46" t="s">
        <v>291</v>
      </c>
      <c r="H8" s="46" t="s">
        <v>292</v>
      </c>
      <c r="I8" s="46" t="s">
        <v>14</v>
      </c>
    </row>
    <row r="9">
      <c r="A9" s="71"/>
      <c r="B9" s="46" t="s">
        <v>127</v>
      </c>
      <c r="C9" s="67">
        <f>SUM(C6:C7)</f>
        <v>61</v>
      </c>
      <c r="D9" s="17">
        <f>SUM(D5:D6) + D2</f>
        <v>0.7948717949</v>
      </c>
      <c r="E9" s="77">
        <v>1.623504831E9</v>
      </c>
      <c r="F9" s="78">
        <v>44359.56517361111</v>
      </c>
      <c r="G9" s="46" t="s">
        <v>293</v>
      </c>
      <c r="H9" s="46" t="s">
        <v>294</v>
      </c>
      <c r="I9" s="46" t="s">
        <v>14</v>
      </c>
    </row>
    <row r="10">
      <c r="A10" s="71"/>
      <c r="B10" s="71"/>
      <c r="C10" s="71"/>
      <c r="D10" s="71"/>
      <c r="E10" s="77">
        <v>1.623505394E9</v>
      </c>
      <c r="F10" s="78">
        <v>44359.57168981482</v>
      </c>
      <c r="G10" s="46" t="s">
        <v>295</v>
      </c>
      <c r="H10" s="46" t="s">
        <v>296</v>
      </c>
      <c r="I10" s="46" t="s">
        <v>12</v>
      </c>
    </row>
    <row r="11">
      <c r="A11" s="71"/>
      <c r="B11" s="71"/>
      <c r="C11" s="71"/>
      <c r="D11" s="71"/>
      <c r="E11" s="77">
        <v>1.6235055E9</v>
      </c>
      <c r="F11" s="78">
        <v>44359.572916666664</v>
      </c>
      <c r="G11" s="46" t="s">
        <v>297</v>
      </c>
      <c r="H11" s="46" t="s">
        <v>298</v>
      </c>
      <c r="I11" s="46" t="s">
        <v>14</v>
      </c>
    </row>
    <row r="12">
      <c r="A12" s="11" t="s">
        <v>134</v>
      </c>
      <c r="B12" s="80" t="s">
        <v>299</v>
      </c>
      <c r="C12" s="71"/>
      <c r="D12" s="71"/>
      <c r="E12" s="77">
        <v>1.623505604E9</v>
      </c>
      <c r="F12" s="78">
        <v>44359.57412037037</v>
      </c>
      <c r="G12" s="46" t="s">
        <v>300</v>
      </c>
      <c r="H12" s="46" t="s">
        <v>301</v>
      </c>
      <c r="I12" s="46" t="s">
        <v>14</v>
      </c>
    </row>
    <row r="13">
      <c r="A13" s="11" t="s">
        <v>138</v>
      </c>
      <c r="B13" s="71"/>
      <c r="C13" s="11" t="s">
        <v>101</v>
      </c>
      <c r="D13" s="11" t="s">
        <v>102</v>
      </c>
      <c r="E13" s="77">
        <v>1.623505705E9</v>
      </c>
      <c r="F13" s="78">
        <v>44359.57528935185</v>
      </c>
      <c r="G13" s="46" t="s">
        <v>302</v>
      </c>
      <c r="H13" s="46" t="s">
        <v>303</v>
      </c>
      <c r="I13" s="46" t="s">
        <v>14</v>
      </c>
    </row>
    <row r="14">
      <c r="A14" s="46" t="s">
        <v>141</v>
      </c>
      <c r="B14" s="46" t="s">
        <v>142</v>
      </c>
      <c r="C14" s="81">
        <v>3.0</v>
      </c>
      <c r="D14" s="82">
        <v>0.6667</v>
      </c>
      <c r="E14" s="77">
        <v>1.623505801E9</v>
      </c>
      <c r="F14" s="78">
        <v>44359.57640046296</v>
      </c>
      <c r="G14" s="46" t="s">
        <v>304</v>
      </c>
      <c r="H14" s="46" t="s">
        <v>305</v>
      </c>
      <c r="I14" s="46" t="s">
        <v>14</v>
      </c>
    </row>
    <row r="15">
      <c r="A15" s="46" t="s">
        <v>3</v>
      </c>
      <c r="B15" s="46" t="s">
        <v>145</v>
      </c>
      <c r="C15" s="81">
        <v>3.0</v>
      </c>
      <c r="D15" s="82">
        <v>0.6667</v>
      </c>
      <c r="E15" s="77">
        <v>1.62350603E9</v>
      </c>
      <c r="F15" s="78">
        <v>44359.579050925924</v>
      </c>
      <c r="G15" s="46" t="s">
        <v>306</v>
      </c>
      <c r="H15" s="46" t="s">
        <v>307</v>
      </c>
      <c r="I15" s="46" t="s">
        <v>93</v>
      </c>
    </row>
    <row r="16">
      <c r="A16" s="46" t="s">
        <v>4</v>
      </c>
      <c r="B16" s="46" t="s">
        <v>148</v>
      </c>
      <c r="C16" s="81">
        <v>4.0</v>
      </c>
      <c r="D16" s="82">
        <v>0.75</v>
      </c>
      <c r="E16" s="77">
        <v>1.623506862E9</v>
      </c>
      <c r="F16" s="78">
        <v>44359.58868055556</v>
      </c>
      <c r="G16" s="46" t="s">
        <v>308</v>
      </c>
      <c r="H16" s="46" t="s">
        <v>309</v>
      </c>
      <c r="I16" s="46" t="s">
        <v>13</v>
      </c>
    </row>
    <row r="17">
      <c r="A17" s="46" t="s">
        <v>5</v>
      </c>
      <c r="B17" s="46" t="s">
        <v>151</v>
      </c>
      <c r="C17" s="81">
        <v>4.0</v>
      </c>
      <c r="D17" s="82">
        <v>0.5</v>
      </c>
      <c r="E17" s="77">
        <v>1.623506957E9</v>
      </c>
      <c r="F17" s="78">
        <v>44359.589780092596</v>
      </c>
      <c r="G17" s="46" t="s">
        <v>310</v>
      </c>
      <c r="H17" s="46" t="s">
        <v>311</v>
      </c>
      <c r="I17" s="46" t="s">
        <v>14</v>
      </c>
    </row>
    <row r="18">
      <c r="A18" s="71"/>
      <c r="B18" s="11" t="s">
        <v>6</v>
      </c>
      <c r="C18" s="81">
        <v>14.0</v>
      </c>
      <c r="D18" s="17">
        <f>COUNTIF($D$19:$D1000, TRUE)/SUM($C$14:$C$17)</f>
        <v>0.5714285714</v>
      </c>
      <c r="E18" s="77">
        <v>1.623507222E9</v>
      </c>
      <c r="F18" s="78">
        <v>44359.59284722222</v>
      </c>
      <c r="G18" s="46" t="s">
        <v>312</v>
      </c>
      <c r="H18" s="46" t="s">
        <v>313</v>
      </c>
      <c r="I18" s="46" t="s">
        <v>14</v>
      </c>
    </row>
    <row r="19">
      <c r="A19" s="11" t="s">
        <v>107</v>
      </c>
      <c r="B19" s="11" t="s">
        <v>156</v>
      </c>
      <c r="C19" s="11" t="s">
        <v>157</v>
      </c>
      <c r="D19" s="11" t="s">
        <v>158</v>
      </c>
      <c r="E19" s="77">
        <v>1.623507348E9</v>
      </c>
      <c r="F19" s="78">
        <v>44359.594305555554</v>
      </c>
      <c r="G19" s="46" t="s">
        <v>314</v>
      </c>
      <c r="H19" s="46" t="s">
        <v>315</v>
      </c>
      <c r="I19" s="46" t="s">
        <v>11</v>
      </c>
    </row>
    <row r="20">
      <c r="A20" s="46" t="s">
        <v>4</v>
      </c>
      <c r="B20" s="46" t="s">
        <v>161</v>
      </c>
      <c r="C20" s="77">
        <v>1.0</v>
      </c>
      <c r="D20" s="79" t="b">
        <v>1</v>
      </c>
      <c r="E20" s="77">
        <v>1.623507454E9</v>
      </c>
      <c r="F20" s="78">
        <v>44359.59553240741</v>
      </c>
      <c r="G20" s="46" t="s">
        <v>316</v>
      </c>
      <c r="H20" s="46" t="s">
        <v>317</v>
      </c>
      <c r="I20" s="46" t="s">
        <v>14</v>
      </c>
    </row>
    <row r="21">
      <c r="A21" s="46" t="s">
        <v>3</v>
      </c>
      <c r="B21" s="46" t="s">
        <v>164</v>
      </c>
      <c r="C21" s="77">
        <v>30.0</v>
      </c>
      <c r="D21" s="79" t="b">
        <v>0</v>
      </c>
      <c r="E21" s="77">
        <v>1.623507566E9</v>
      </c>
      <c r="F21" s="78">
        <v>44359.5968287037</v>
      </c>
      <c r="G21" s="46" t="s">
        <v>318</v>
      </c>
      <c r="H21" s="46" t="s">
        <v>319</v>
      </c>
      <c r="I21" s="46" t="s">
        <v>14</v>
      </c>
    </row>
    <row r="22">
      <c r="A22" s="46" t="s">
        <v>4</v>
      </c>
      <c r="B22" s="46" t="s">
        <v>167</v>
      </c>
      <c r="C22" s="77">
        <v>45.0</v>
      </c>
      <c r="D22" s="79" t="b">
        <v>0</v>
      </c>
      <c r="E22" s="77">
        <v>1.623507734E9</v>
      </c>
      <c r="F22" s="78">
        <v>44359.59877314815</v>
      </c>
      <c r="G22" s="46" t="s">
        <v>320</v>
      </c>
      <c r="H22" s="46" t="s">
        <v>321</v>
      </c>
      <c r="I22" s="46" t="s">
        <v>13</v>
      </c>
    </row>
    <row r="23">
      <c r="A23" s="46" t="s">
        <v>4</v>
      </c>
      <c r="B23" s="46" t="s">
        <v>170</v>
      </c>
      <c r="C23" s="77">
        <v>45.0</v>
      </c>
      <c r="D23" s="79" t="b">
        <v>0</v>
      </c>
      <c r="E23" s="77">
        <v>1.623507876E9</v>
      </c>
      <c r="F23" s="78">
        <v>44359.60041666667</v>
      </c>
      <c r="G23" s="46" t="s">
        <v>322</v>
      </c>
      <c r="H23" s="46" t="s">
        <v>323</v>
      </c>
      <c r="I23" s="46" t="s">
        <v>14</v>
      </c>
    </row>
    <row r="24">
      <c r="A24" s="46" t="s">
        <v>3</v>
      </c>
      <c r="B24" s="46" t="s">
        <v>173</v>
      </c>
      <c r="C24" s="77">
        <v>47.0</v>
      </c>
      <c r="D24" s="79" t="b">
        <v>1</v>
      </c>
      <c r="E24" s="77">
        <v>1.623507982E9</v>
      </c>
      <c r="F24" s="78">
        <v>44359.601643518516</v>
      </c>
      <c r="G24" s="46" t="s">
        <v>324</v>
      </c>
      <c r="H24" s="46" t="s">
        <v>325</v>
      </c>
      <c r="I24" s="46" t="s">
        <v>13</v>
      </c>
    </row>
    <row r="25">
      <c r="A25" s="46" t="s">
        <v>141</v>
      </c>
      <c r="B25" s="46" t="s">
        <v>176</v>
      </c>
      <c r="C25" s="77">
        <v>49.0</v>
      </c>
      <c r="D25" s="79" t="b">
        <v>0</v>
      </c>
      <c r="E25" s="77">
        <v>1.623508104E9</v>
      </c>
      <c r="F25" s="78">
        <v>44359.603055555555</v>
      </c>
      <c r="G25" s="46" t="s">
        <v>326</v>
      </c>
      <c r="H25" s="46" t="s">
        <v>327</v>
      </c>
      <c r="I25" s="46" t="s">
        <v>11</v>
      </c>
    </row>
    <row r="26">
      <c r="A26" s="46" t="s">
        <v>3</v>
      </c>
      <c r="B26" s="46" t="s">
        <v>179</v>
      </c>
      <c r="C26" s="77">
        <v>63.0</v>
      </c>
      <c r="D26" s="79" t="b">
        <v>1</v>
      </c>
      <c r="E26" s="77">
        <v>1.623508235E9</v>
      </c>
      <c r="F26" s="78">
        <v>44359.60457175926</v>
      </c>
      <c r="G26" s="46" t="s">
        <v>328</v>
      </c>
      <c r="H26" s="46" t="s">
        <v>329</v>
      </c>
      <c r="I26" s="46" t="s">
        <v>11</v>
      </c>
    </row>
    <row r="27">
      <c r="A27" s="46" t="s">
        <v>5</v>
      </c>
      <c r="B27" s="46" t="s">
        <v>182</v>
      </c>
      <c r="C27" s="77">
        <v>66.0</v>
      </c>
      <c r="D27" s="79" t="b">
        <v>1</v>
      </c>
      <c r="E27" s="77">
        <v>1.623508345E9</v>
      </c>
      <c r="F27" s="78">
        <v>44359.605844907404</v>
      </c>
      <c r="G27" s="46" t="s">
        <v>330</v>
      </c>
      <c r="H27" s="46" t="s">
        <v>331</v>
      </c>
      <c r="I27" s="46" t="s">
        <v>13</v>
      </c>
    </row>
    <row r="28">
      <c r="A28" s="46" t="s">
        <v>141</v>
      </c>
      <c r="B28" s="46" t="s">
        <v>173</v>
      </c>
      <c r="C28" s="77">
        <v>74.0</v>
      </c>
      <c r="D28" s="79" t="b">
        <v>1</v>
      </c>
      <c r="E28" s="77">
        <v>1.62350844E9</v>
      </c>
      <c r="F28" s="78">
        <v>44359.606944444444</v>
      </c>
      <c r="G28" s="46" t="s">
        <v>332</v>
      </c>
      <c r="H28" s="46" t="s">
        <v>333</v>
      </c>
      <c r="I28" s="46" t="s">
        <v>14</v>
      </c>
    </row>
    <row r="29">
      <c r="A29" s="46" t="s">
        <v>5</v>
      </c>
      <c r="B29" s="46" t="s">
        <v>187</v>
      </c>
      <c r="C29" s="77">
        <v>75.0</v>
      </c>
      <c r="D29" s="79" t="b">
        <v>1</v>
      </c>
      <c r="E29" s="77">
        <v>1.623508536E9</v>
      </c>
      <c r="F29" s="78">
        <v>44359.60805555555</v>
      </c>
      <c r="G29" s="46" t="s">
        <v>334</v>
      </c>
      <c r="H29" s="46" t="s">
        <v>335</v>
      </c>
      <c r="I29" s="46" t="s">
        <v>13</v>
      </c>
    </row>
    <row r="30">
      <c r="A30" s="46" t="s">
        <v>5</v>
      </c>
      <c r="B30" s="46" t="s">
        <v>190</v>
      </c>
      <c r="C30" s="77">
        <v>84.0</v>
      </c>
      <c r="D30" s="79" t="b">
        <v>0</v>
      </c>
      <c r="E30" s="77">
        <v>1.623508626E9</v>
      </c>
      <c r="F30" s="78">
        <v>44359.60909722222</v>
      </c>
      <c r="G30" s="46" t="s">
        <v>336</v>
      </c>
      <c r="H30" s="46" t="s">
        <v>337</v>
      </c>
      <c r="I30" s="46" t="s">
        <v>14</v>
      </c>
    </row>
    <row r="31">
      <c r="A31" s="46" t="s">
        <v>141</v>
      </c>
      <c r="B31" s="46" t="s">
        <v>193</v>
      </c>
      <c r="C31" s="77">
        <v>85.0</v>
      </c>
      <c r="D31" s="79" t="b">
        <v>1</v>
      </c>
      <c r="E31" s="77">
        <v>1.623508775E9</v>
      </c>
      <c r="F31" s="78">
        <v>44359.61082175926</v>
      </c>
      <c r="G31" s="46" t="s">
        <v>338</v>
      </c>
      <c r="H31" s="46" t="s">
        <v>339</v>
      </c>
      <c r="I31" s="46" t="s">
        <v>12</v>
      </c>
    </row>
    <row r="32">
      <c r="A32" s="46" t="s">
        <v>5</v>
      </c>
      <c r="B32" s="46" t="s">
        <v>194</v>
      </c>
      <c r="C32" s="77">
        <v>93.0</v>
      </c>
      <c r="D32" s="79" t="b">
        <v>0</v>
      </c>
      <c r="E32" s="77">
        <v>1.623508891E9</v>
      </c>
      <c r="F32" s="78">
        <v>44359.61216435185</v>
      </c>
      <c r="G32" s="46" t="s">
        <v>340</v>
      </c>
      <c r="H32" s="46" t="s">
        <v>341</v>
      </c>
      <c r="I32" s="46" t="s">
        <v>14</v>
      </c>
    </row>
    <row r="33">
      <c r="A33" s="46" t="s">
        <v>4</v>
      </c>
      <c r="B33" s="46" t="s">
        <v>195</v>
      </c>
      <c r="C33" s="77">
        <v>90.0</v>
      </c>
      <c r="D33" s="79" t="b">
        <v>1</v>
      </c>
      <c r="E33" s="77">
        <v>1.623509004E9</v>
      </c>
      <c r="F33" s="78">
        <v>44359.61347222222</v>
      </c>
      <c r="G33" s="46" t="s">
        <v>342</v>
      </c>
      <c r="H33" s="46" t="s">
        <v>343</v>
      </c>
      <c r="I33" s="46" t="s">
        <v>14</v>
      </c>
    </row>
    <row r="34">
      <c r="A34" s="5"/>
      <c r="B34" s="71"/>
      <c r="C34" s="25"/>
      <c r="D34" s="5"/>
      <c r="E34" s="77">
        <v>1.623509097E9</v>
      </c>
      <c r="F34" s="78">
        <v>44359.61454861111</v>
      </c>
      <c r="G34" s="46" t="s">
        <v>344</v>
      </c>
      <c r="H34" s="46" t="s">
        <v>345</v>
      </c>
      <c r="I34" s="46" t="s">
        <v>14</v>
      </c>
    </row>
    <row r="35">
      <c r="A35" s="5"/>
      <c r="B35" s="71"/>
      <c r="C35" s="25"/>
      <c r="D35" s="5"/>
      <c r="E35" s="77">
        <v>1.623509204E9</v>
      </c>
      <c r="F35" s="78">
        <v>44359.61578703704</v>
      </c>
      <c r="G35" s="46" t="s">
        <v>346</v>
      </c>
      <c r="H35" s="46" t="s">
        <v>347</v>
      </c>
      <c r="I35" s="46" t="s">
        <v>13</v>
      </c>
    </row>
    <row r="36">
      <c r="A36" s="5"/>
      <c r="B36" s="71"/>
      <c r="C36" s="25"/>
      <c r="D36" s="5"/>
      <c r="E36" s="77">
        <v>1.62350936E9</v>
      </c>
      <c r="F36" s="78">
        <v>44359.61759259259</v>
      </c>
      <c r="G36" s="46" t="s">
        <v>348</v>
      </c>
      <c r="H36" s="46" t="s">
        <v>349</v>
      </c>
      <c r="I36" s="46" t="s">
        <v>14</v>
      </c>
    </row>
    <row r="37">
      <c r="A37" s="5"/>
      <c r="B37" s="71"/>
      <c r="C37" s="25"/>
      <c r="D37" s="5"/>
      <c r="E37" s="77">
        <v>1.623509453E9</v>
      </c>
      <c r="F37" s="78">
        <v>44359.61866898148</v>
      </c>
      <c r="G37" s="46" t="s">
        <v>350</v>
      </c>
      <c r="H37" s="46" t="s">
        <v>351</v>
      </c>
      <c r="I37" s="46" t="s">
        <v>14</v>
      </c>
    </row>
    <row r="38">
      <c r="A38" s="5"/>
      <c r="B38" s="71"/>
      <c r="C38" s="25"/>
      <c r="D38" s="5"/>
      <c r="E38" s="77">
        <v>1.623509561E9</v>
      </c>
      <c r="F38" s="78">
        <v>44359.61991898148</v>
      </c>
      <c r="G38" s="46" t="s">
        <v>352</v>
      </c>
      <c r="H38" s="46" t="s">
        <v>353</v>
      </c>
      <c r="I38" s="46" t="s">
        <v>12</v>
      </c>
    </row>
    <row r="39">
      <c r="A39" s="5"/>
      <c r="B39" s="71"/>
      <c r="C39" s="25"/>
      <c r="D39" s="5"/>
      <c r="E39" s="77">
        <v>1.623509725E9</v>
      </c>
      <c r="F39" s="78">
        <v>44359.62181712963</v>
      </c>
      <c r="G39" s="46" t="s">
        <v>354</v>
      </c>
      <c r="H39" s="46" t="s">
        <v>355</v>
      </c>
      <c r="I39" s="46" t="s">
        <v>14</v>
      </c>
    </row>
    <row r="40">
      <c r="A40" s="5"/>
      <c r="B40" s="71"/>
      <c r="C40" s="25"/>
      <c r="D40" s="5"/>
      <c r="E40" s="77">
        <v>1.623509871E9</v>
      </c>
      <c r="F40" s="78">
        <v>44359.623506944445</v>
      </c>
      <c r="G40" s="46" t="s">
        <v>356</v>
      </c>
      <c r="H40" s="46" t="s">
        <v>357</v>
      </c>
      <c r="I40" s="46" t="s">
        <v>13</v>
      </c>
    </row>
    <row r="41">
      <c r="A41" s="5"/>
      <c r="B41" s="71"/>
      <c r="C41" s="25"/>
      <c r="D41" s="5"/>
      <c r="E41" s="75"/>
      <c r="F41" s="68"/>
      <c r="G41" s="5"/>
      <c r="H41" s="5"/>
      <c r="I41" s="5"/>
    </row>
    <row r="42">
      <c r="A42" s="5"/>
      <c r="B42" s="71"/>
      <c r="C42" s="25"/>
      <c r="D42" s="5"/>
      <c r="E42" s="75"/>
      <c r="F42" s="68"/>
      <c r="G42" s="5"/>
      <c r="H42" s="5"/>
      <c r="I42" s="5"/>
    </row>
    <row r="43">
      <c r="A43" s="5"/>
      <c r="B43" s="5"/>
      <c r="C43" s="5"/>
      <c r="D43" s="5"/>
      <c r="E43" s="25"/>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3</v>
      </c>
      <c r="D2" s="17">
        <f t="shared" ref="D2:D6" si="2">C2/COUNTA(I$2:I1000)</f>
        <v>0.1666666667</v>
      </c>
      <c r="E2" s="83">
        <v>1.623502924E9</v>
      </c>
      <c r="F2" s="68">
        <f>IFERROR(__xludf.DUMMYFUNCTION("INDEX(SPLIT(E2, char(10)), 0, 1)/86400+date(1970,1,1)"),44359.54310185185)</f>
        <v>44359.5431</v>
      </c>
      <c r="G2" s="62" t="s">
        <v>358</v>
      </c>
      <c r="H2" s="84" t="s">
        <v>359</v>
      </c>
      <c r="I2" s="46" t="s">
        <v>13</v>
      </c>
    </row>
    <row r="3">
      <c r="A3" s="5" t="s">
        <v>11</v>
      </c>
      <c r="B3" s="5" t="s">
        <v>111</v>
      </c>
      <c r="C3" s="25">
        <f t="shared" si="1"/>
        <v>1</v>
      </c>
      <c r="D3" s="17">
        <f t="shared" si="2"/>
        <v>0.05555555556</v>
      </c>
      <c r="E3" s="83">
        <v>1.623504749E9</v>
      </c>
      <c r="F3" s="68">
        <f>IFERROR(__xludf.DUMMYFUNCTION("INDEX(SPLIT(E3, char(10)), 0, 1)/86400+date(1970,1,1)"),44359.56422453704)</f>
        <v>44359.56422</v>
      </c>
      <c r="G3" s="62" t="s">
        <v>360</v>
      </c>
      <c r="H3" s="84" t="s">
        <v>361</v>
      </c>
      <c r="I3" s="46" t="s">
        <v>14</v>
      </c>
    </row>
    <row r="4">
      <c r="A4" s="5" t="s">
        <v>12</v>
      </c>
      <c r="B4" s="5" t="s">
        <v>114</v>
      </c>
      <c r="C4" s="25">
        <f t="shared" si="1"/>
        <v>2</v>
      </c>
      <c r="D4" s="17">
        <f t="shared" si="2"/>
        <v>0.1111111111</v>
      </c>
      <c r="E4" s="83">
        <v>1.623505685E9</v>
      </c>
      <c r="F4" s="68">
        <f>IFERROR(__xludf.DUMMYFUNCTION("INDEX(SPLIT(E4, char(10)), 0, 1)/86400+date(1970,1,1)"),44359.575057870374)</f>
        <v>44359.57506</v>
      </c>
      <c r="G4" s="62" t="s">
        <v>362</v>
      </c>
      <c r="H4" s="84" t="s">
        <v>363</v>
      </c>
      <c r="I4" s="46" t="s">
        <v>14</v>
      </c>
    </row>
    <row r="5">
      <c r="A5" s="5" t="s">
        <v>13</v>
      </c>
      <c r="B5" s="5" t="s">
        <v>117</v>
      </c>
      <c r="C5" s="25">
        <f t="shared" si="1"/>
        <v>6</v>
      </c>
      <c r="D5" s="17">
        <f t="shared" si="2"/>
        <v>0.3333333333</v>
      </c>
      <c r="E5" s="83">
        <v>1.623506953E9</v>
      </c>
      <c r="F5" s="68">
        <f>IFERROR(__xludf.DUMMYFUNCTION("INDEX(SPLIT(E5, char(10)), 0, 1)/86400+date(1970,1,1)"),44359.589733796296)</f>
        <v>44359.58973</v>
      </c>
      <c r="G5" s="62" t="s">
        <v>364</v>
      </c>
      <c r="H5" s="84" t="s">
        <v>365</v>
      </c>
      <c r="I5" s="46" t="s">
        <v>14</v>
      </c>
    </row>
    <row r="6">
      <c r="A6" s="5" t="s">
        <v>14</v>
      </c>
      <c r="B6" s="5" t="s">
        <v>120</v>
      </c>
      <c r="C6" s="25">
        <f t="shared" si="1"/>
        <v>6</v>
      </c>
      <c r="D6" s="17">
        <f t="shared" si="2"/>
        <v>0.3333333333</v>
      </c>
      <c r="E6" s="83">
        <v>1.623507043E9</v>
      </c>
      <c r="F6" s="68">
        <f>IFERROR(__xludf.DUMMYFUNCTION("INDEX(SPLIT(E6, char(10)), 0, 1)/86400+date(1970,1,1)"),44359.59077546296)</f>
        <v>44359.59078</v>
      </c>
      <c r="G6" s="62" t="s">
        <v>366</v>
      </c>
      <c r="H6" s="84" t="s">
        <v>367</v>
      </c>
      <c r="I6" s="46" t="s">
        <v>13</v>
      </c>
    </row>
    <row r="7">
      <c r="A7" s="5"/>
      <c r="B7" s="5" t="s">
        <v>10</v>
      </c>
      <c r="C7" s="23">
        <f t="shared" ref="C7:D7" si="3">SUM(C2:C6)</f>
        <v>18</v>
      </c>
      <c r="D7" s="70">
        <f t="shared" si="3"/>
        <v>1</v>
      </c>
      <c r="E7" s="83">
        <v>1.623507233E9</v>
      </c>
      <c r="F7" s="68">
        <f>IFERROR(__xludf.DUMMYFUNCTION("INDEX(SPLIT(E7, char(10)), 0, 1)/86400+date(1970,1,1)"),44359.59297453704)</f>
        <v>44359.59297</v>
      </c>
      <c r="G7" s="62" t="s">
        <v>368</v>
      </c>
      <c r="H7" s="84" t="s">
        <v>369</v>
      </c>
      <c r="I7" s="46" t="s">
        <v>11</v>
      </c>
    </row>
    <row r="8">
      <c r="A8" s="71"/>
      <c r="B8" s="5" t="s">
        <v>15</v>
      </c>
      <c r="C8" s="25">
        <f t="shared" ref="C8:D8" si="4">SUM(C5:C6)</f>
        <v>12</v>
      </c>
      <c r="D8" s="17">
        <f t="shared" si="4"/>
        <v>0.6666666667</v>
      </c>
      <c r="E8" s="83">
        <v>1.623507593E9</v>
      </c>
      <c r="F8" s="68">
        <f>IFERROR(__xludf.DUMMYFUNCTION("INDEX(SPLIT(E8, char(10)), 0, 1)/86400+date(1970,1,1)"),44359.5971412037)</f>
        <v>44359.59714</v>
      </c>
      <c r="G8" s="62" t="s">
        <v>269</v>
      </c>
      <c r="H8" s="84" t="s">
        <v>370</v>
      </c>
      <c r="I8" s="46" t="s">
        <v>93</v>
      </c>
    </row>
    <row r="9">
      <c r="A9" s="71"/>
      <c r="B9" s="5" t="s">
        <v>127</v>
      </c>
      <c r="C9" s="25">
        <f>C2+C5+C6</f>
        <v>15</v>
      </c>
      <c r="D9" s="17">
        <f>SUM(D5:D6) + D2</f>
        <v>0.8333333333</v>
      </c>
      <c r="E9" s="83">
        <v>1.62350781E9</v>
      </c>
      <c r="F9" s="68">
        <f>IFERROR(__xludf.DUMMYFUNCTION("INDEX(SPLIT(E9, char(10)), 0, 1)/86400+date(1970,1,1)"),44359.599652777775)</f>
        <v>44359.59965</v>
      </c>
      <c r="G9" s="62" t="s">
        <v>371</v>
      </c>
      <c r="H9" s="84" t="s">
        <v>372</v>
      </c>
      <c r="I9" s="46" t="s">
        <v>13</v>
      </c>
    </row>
    <row r="10">
      <c r="A10" s="71"/>
      <c r="B10" s="71"/>
      <c r="C10" s="71"/>
      <c r="D10" s="71"/>
      <c r="E10" s="83">
        <v>1.623508435E9</v>
      </c>
      <c r="F10" s="68">
        <f>IFERROR(__xludf.DUMMYFUNCTION("INDEX(SPLIT(E10, char(10)), 0, 1)/86400+date(1970,1,1)"),44359.606886574074)</f>
        <v>44359.60689</v>
      </c>
      <c r="G10" s="62" t="s">
        <v>373</v>
      </c>
      <c r="H10" s="84" t="s">
        <v>374</v>
      </c>
      <c r="I10" s="46" t="s">
        <v>13</v>
      </c>
    </row>
    <row r="11">
      <c r="A11" s="71"/>
      <c r="B11" s="71"/>
      <c r="C11" s="71"/>
      <c r="D11" s="71"/>
      <c r="E11" s="83">
        <v>1.623508582E9</v>
      </c>
      <c r="F11" s="68">
        <f>IFERROR(__xludf.DUMMYFUNCTION("INDEX(SPLIT(E11, char(10)), 0, 1)/86400+date(1970,1,1)"),44359.60858796297)</f>
        <v>44359.60859</v>
      </c>
      <c r="G11" s="62" t="s">
        <v>375</v>
      </c>
      <c r="H11" s="84" t="s">
        <v>376</v>
      </c>
      <c r="I11" s="46" t="s">
        <v>93</v>
      </c>
    </row>
    <row r="12">
      <c r="A12" s="13" t="s">
        <v>134</v>
      </c>
      <c r="B12" s="85" t="s">
        <v>377</v>
      </c>
      <c r="C12" s="71"/>
      <c r="D12" s="71"/>
      <c r="E12" s="83">
        <v>1.623508685E9</v>
      </c>
      <c r="F12" s="68">
        <f>IFERROR(__xludf.DUMMYFUNCTION("INDEX(SPLIT(E12, char(10)), 0, 1)/86400+date(1970,1,1)"),44359.60978009259)</f>
        <v>44359.60978</v>
      </c>
      <c r="G12" s="62" t="s">
        <v>378</v>
      </c>
      <c r="H12" s="84" t="s">
        <v>379</v>
      </c>
      <c r="I12" s="46" t="s">
        <v>93</v>
      </c>
    </row>
    <row r="13">
      <c r="A13" s="13" t="s">
        <v>138</v>
      </c>
      <c r="B13" s="71"/>
      <c r="C13" s="13" t="s">
        <v>101</v>
      </c>
      <c r="D13" s="13" t="s">
        <v>102</v>
      </c>
      <c r="E13" s="83">
        <v>1.623508777E9</v>
      </c>
      <c r="F13" s="68">
        <f>IFERROR(__xludf.DUMMYFUNCTION("INDEX(SPLIT(E13, char(10)), 0, 1)/86400+date(1970,1,1)"),44359.61084490741)</f>
        <v>44359.61084</v>
      </c>
      <c r="G13" s="62" t="s">
        <v>380</v>
      </c>
      <c r="H13" s="84" t="s">
        <v>381</v>
      </c>
      <c r="I13" s="46" t="s">
        <v>12</v>
      </c>
    </row>
    <row r="14">
      <c r="A14" s="5" t="s">
        <v>141</v>
      </c>
      <c r="B14" s="5" t="s">
        <v>142</v>
      </c>
      <c r="C14" s="23">
        <f t="shared" ref="C14:C17" si="5">COUNTIF($A$19:$A1000, A14)</f>
        <v>3</v>
      </c>
      <c r="D14" s="17">
        <f>IFERROR(__xludf.DUMMYFUNCTION("IF(C14, COUNTIF(FILTER($D$20:$D1000, $A$20:$A1000=A14), TRUE)/C14, 0)"),0.6666666666666666)</f>
        <v>0.6666666667</v>
      </c>
      <c r="E14" s="83">
        <v>1.623508911E9</v>
      </c>
      <c r="F14" s="68">
        <f>IFERROR(__xludf.DUMMYFUNCTION("INDEX(SPLIT(E14, char(10)), 0, 1)/86400+date(1970,1,1)"),44359.612395833334)</f>
        <v>44359.6124</v>
      </c>
      <c r="G14" s="62" t="s">
        <v>382</v>
      </c>
      <c r="H14" s="84" t="s">
        <v>383</v>
      </c>
      <c r="I14" s="46" t="s">
        <v>14</v>
      </c>
    </row>
    <row r="15">
      <c r="A15" s="5" t="s">
        <v>3</v>
      </c>
      <c r="B15" s="5" t="s">
        <v>145</v>
      </c>
      <c r="C15" s="23">
        <f t="shared" si="5"/>
        <v>3</v>
      </c>
      <c r="D15" s="17">
        <f>IFERROR(__xludf.DUMMYFUNCTION("IF(C15, COUNTIF(FILTER($D$20:$D1000, $A$20:$A1000=A15), TRUE)/C15, 0)"),0.3333333333333333)</f>
        <v>0.3333333333</v>
      </c>
      <c r="E15" s="83">
        <v>1.623509045E9</v>
      </c>
      <c r="F15" s="68">
        <f>IFERROR(__xludf.DUMMYFUNCTION("INDEX(SPLIT(E15, char(10)), 0, 1)/86400+date(1970,1,1)"),44359.61394675926)</f>
        <v>44359.61395</v>
      </c>
      <c r="G15" s="62" t="s">
        <v>384</v>
      </c>
      <c r="H15" s="84" t="s">
        <v>385</v>
      </c>
      <c r="I15" s="46" t="s">
        <v>14</v>
      </c>
    </row>
    <row r="16">
      <c r="A16" s="5" t="s">
        <v>4</v>
      </c>
      <c r="B16" s="5" t="s">
        <v>148</v>
      </c>
      <c r="C16" s="23">
        <f t="shared" si="5"/>
        <v>4</v>
      </c>
      <c r="D16" s="17">
        <f>IFERROR(__xludf.DUMMYFUNCTION("IF(C16, COUNTIF(FILTER($D$20:$D1000, $A$20:$A1000=A16), TRUE)/C16, 0)"),0.5)</f>
        <v>0.5</v>
      </c>
      <c r="E16" s="83">
        <v>1.623509197E9</v>
      </c>
      <c r="F16" s="68">
        <f>IFERROR(__xludf.DUMMYFUNCTION("INDEX(SPLIT(E16, char(10)), 0, 1)/86400+date(1970,1,1)"),44359.61570601852)</f>
        <v>44359.61571</v>
      </c>
      <c r="G16" s="62" t="s">
        <v>386</v>
      </c>
      <c r="H16" s="84" t="s">
        <v>387</v>
      </c>
      <c r="I16" s="46" t="s">
        <v>13</v>
      </c>
    </row>
    <row r="17">
      <c r="A17" s="5" t="s">
        <v>5</v>
      </c>
      <c r="B17" s="5" t="s">
        <v>151</v>
      </c>
      <c r="C17" s="23">
        <f t="shared" si="5"/>
        <v>4</v>
      </c>
      <c r="D17" s="17">
        <f>IFERROR(__xludf.DUMMYFUNCTION("IF(C17, COUNTIF(FILTER($D$20:$D1000, $A$20:$A1000=A17), TRUE)/C17, 0)"),0.25)</f>
        <v>0.25</v>
      </c>
      <c r="E17" s="83">
        <v>1.623509404E9</v>
      </c>
      <c r="F17" s="68">
        <f>IFERROR(__xludf.DUMMYFUNCTION("INDEX(SPLIT(E17, char(10)), 0, 1)/86400+date(1970,1,1)"),44359.618101851855)</f>
        <v>44359.6181</v>
      </c>
      <c r="G17" s="62" t="s">
        <v>388</v>
      </c>
      <c r="H17" s="84" t="s">
        <v>389</v>
      </c>
      <c r="I17" s="46" t="s">
        <v>14</v>
      </c>
    </row>
    <row r="18">
      <c r="A18" s="71"/>
      <c r="B18" s="13" t="s">
        <v>6</v>
      </c>
      <c r="C18" s="23">
        <f>SUM(C14:C17)</f>
        <v>14</v>
      </c>
      <c r="D18" s="17">
        <f>COUNTIF($D$19:$D1000, TRUE)/SUM($C$14:$C$17)</f>
        <v>0.4285714286</v>
      </c>
      <c r="E18" s="83">
        <v>1.623509585E9</v>
      </c>
      <c r="F18" s="68">
        <f>IFERROR(__xludf.DUMMYFUNCTION("INDEX(SPLIT(E18, char(10)), 0, 1)/86400+date(1970,1,1)"),44359.620196759264)</f>
        <v>44359.6202</v>
      </c>
      <c r="G18" s="62" t="s">
        <v>390</v>
      </c>
      <c r="H18" s="84" t="s">
        <v>391</v>
      </c>
      <c r="I18" s="46" t="s">
        <v>12</v>
      </c>
    </row>
    <row r="19">
      <c r="A19" s="13" t="s">
        <v>107</v>
      </c>
      <c r="B19" s="13" t="s">
        <v>156</v>
      </c>
      <c r="C19" s="13" t="s">
        <v>157</v>
      </c>
      <c r="D19" s="13" t="s">
        <v>158</v>
      </c>
      <c r="E19" s="83">
        <v>1.623509768E9</v>
      </c>
      <c r="F19" s="68">
        <f>IFERROR(__xludf.DUMMYFUNCTION("INDEX(SPLIT(E19, char(10)), 0, 1)/86400+date(1970,1,1)"),44359.62231481481)</f>
        <v>44359.62231</v>
      </c>
      <c r="G19" s="62" t="s">
        <v>392</v>
      </c>
      <c r="H19" s="84" t="s">
        <v>393</v>
      </c>
      <c r="I19" s="46" t="s">
        <v>13</v>
      </c>
    </row>
    <row r="20">
      <c r="A20" s="5" t="s">
        <v>4</v>
      </c>
      <c r="B20" s="5" t="s">
        <v>161</v>
      </c>
      <c r="C20" s="25">
        <v>1.0</v>
      </c>
      <c r="D20" s="79" t="b">
        <v>1</v>
      </c>
      <c r="E20" s="83"/>
      <c r="F20" s="68"/>
      <c r="H20" s="84"/>
      <c r="I20" s="46"/>
    </row>
    <row r="21">
      <c r="A21" s="5" t="s">
        <v>3</v>
      </c>
      <c r="B21" s="5" t="s">
        <v>164</v>
      </c>
      <c r="C21" s="25">
        <v>30.0</v>
      </c>
      <c r="D21" s="79" t="b">
        <v>0</v>
      </c>
      <c r="E21" s="83"/>
      <c r="F21" s="68"/>
      <c r="H21" s="5"/>
      <c r="I21" s="5"/>
    </row>
    <row r="22">
      <c r="A22" s="5" t="s">
        <v>4</v>
      </c>
      <c r="B22" s="5" t="s">
        <v>167</v>
      </c>
      <c r="C22" s="25">
        <v>45.0</v>
      </c>
      <c r="D22" s="79" t="b">
        <v>0</v>
      </c>
      <c r="E22" s="25"/>
      <c r="F22" s="68"/>
      <c r="G22" s="5"/>
      <c r="H22" s="5"/>
      <c r="I22" s="5"/>
    </row>
    <row r="23">
      <c r="A23" s="5" t="s">
        <v>4</v>
      </c>
      <c r="B23" s="5" t="s">
        <v>170</v>
      </c>
      <c r="C23" s="25">
        <v>45.0</v>
      </c>
      <c r="D23" s="79" t="b">
        <v>0</v>
      </c>
      <c r="E23" s="25"/>
      <c r="F23" s="68"/>
      <c r="G23" s="5"/>
      <c r="H23" s="5"/>
      <c r="I23" s="5"/>
    </row>
    <row r="24">
      <c r="A24" s="5" t="s">
        <v>3</v>
      </c>
      <c r="B24" s="5" t="s">
        <v>173</v>
      </c>
      <c r="C24" s="25">
        <v>47.0</v>
      </c>
      <c r="D24" s="79" t="b">
        <v>0</v>
      </c>
      <c r="E24" s="25"/>
      <c r="F24" s="68"/>
      <c r="G24" s="5"/>
      <c r="H24" s="5"/>
      <c r="I24" s="5"/>
    </row>
    <row r="25">
      <c r="A25" s="5" t="s">
        <v>141</v>
      </c>
      <c r="B25" s="71" t="s">
        <v>176</v>
      </c>
      <c r="C25" s="25">
        <v>49.0</v>
      </c>
      <c r="D25" s="79" t="b">
        <v>1</v>
      </c>
      <c r="E25" s="25"/>
      <c r="F25" s="68"/>
      <c r="G25" s="5"/>
      <c r="H25" s="5"/>
      <c r="I25" s="5"/>
    </row>
    <row r="26">
      <c r="A26" s="5" t="s">
        <v>3</v>
      </c>
      <c r="B26" s="71" t="s">
        <v>179</v>
      </c>
      <c r="C26" s="25">
        <v>63.0</v>
      </c>
      <c r="D26" s="79" t="b">
        <v>1</v>
      </c>
      <c r="E26" s="25"/>
      <c r="F26" s="68"/>
      <c r="G26" s="5"/>
      <c r="H26" s="5"/>
      <c r="I26" s="5"/>
    </row>
    <row r="27">
      <c r="A27" s="5" t="s">
        <v>5</v>
      </c>
      <c r="B27" s="71" t="s">
        <v>182</v>
      </c>
      <c r="C27" s="25">
        <v>66.0</v>
      </c>
      <c r="D27" s="79" t="b">
        <v>0</v>
      </c>
      <c r="E27" s="25"/>
      <c r="F27" s="68"/>
      <c r="G27" s="5"/>
      <c r="H27" s="5"/>
      <c r="I27" s="5"/>
    </row>
    <row r="28">
      <c r="A28" s="5" t="s">
        <v>141</v>
      </c>
      <c r="B28" s="71" t="s">
        <v>173</v>
      </c>
      <c r="C28" s="25">
        <v>74.0</v>
      </c>
      <c r="D28" s="79" t="b">
        <v>0</v>
      </c>
      <c r="E28" s="25"/>
      <c r="F28" s="68"/>
      <c r="G28" s="5"/>
      <c r="H28" s="5"/>
      <c r="I28" s="5"/>
    </row>
    <row r="29">
      <c r="A29" s="5" t="s">
        <v>5</v>
      </c>
      <c r="B29" s="71" t="s">
        <v>187</v>
      </c>
      <c r="C29" s="25">
        <v>75.0</v>
      </c>
      <c r="D29" s="79" t="b">
        <v>1</v>
      </c>
      <c r="E29" s="75"/>
      <c r="F29" s="68"/>
      <c r="G29" s="5"/>
      <c r="H29" s="5"/>
      <c r="I29" s="5"/>
    </row>
    <row r="30">
      <c r="A30" s="5" t="s">
        <v>5</v>
      </c>
      <c r="B30" s="71" t="s">
        <v>190</v>
      </c>
      <c r="C30" s="25">
        <v>84.0</v>
      </c>
      <c r="D30" s="79" t="b">
        <v>0</v>
      </c>
      <c r="E30" s="68"/>
      <c r="F30" s="68"/>
      <c r="G30" s="5"/>
      <c r="H30" s="5"/>
      <c r="I30" s="5"/>
    </row>
    <row r="31">
      <c r="A31" s="5" t="s">
        <v>141</v>
      </c>
      <c r="B31" s="71" t="s">
        <v>193</v>
      </c>
      <c r="C31" s="25">
        <v>85.0</v>
      </c>
      <c r="D31" s="79" t="b">
        <v>1</v>
      </c>
      <c r="E31" s="75"/>
      <c r="F31" s="68"/>
      <c r="G31" s="5"/>
      <c r="H31" s="5"/>
      <c r="I31" s="5"/>
    </row>
    <row r="32">
      <c r="A32" s="5" t="s">
        <v>5</v>
      </c>
      <c r="B32" s="71" t="s">
        <v>194</v>
      </c>
      <c r="C32" s="25">
        <v>93.0</v>
      </c>
      <c r="D32" s="79" t="b">
        <v>0</v>
      </c>
      <c r="E32" s="75"/>
      <c r="F32" s="68"/>
      <c r="G32" s="5"/>
      <c r="H32" s="5"/>
      <c r="I32" s="5"/>
    </row>
    <row r="33">
      <c r="A33" s="5" t="s">
        <v>4</v>
      </c>
      <c r="B33" s="71" t="s">
        <v>195</v>
      </c>
      <c r="C33" s="25">
        <v>90.0</v>
      </c>
      <c r="D33" s="79" t="b">
        <v>1</v>
      </c>
      <c r="E33" s="75"/>
      <c r="F33" s="68"/>
      <c r="G33" s="5"/>
      <c r="H33" s="5"/>
      <c r="I33" s="5"/>
    </row>
    <row r="34">
      <c r="A34" s="5"/>
      <c r="B34" s="71"/>
      <c r="C34" s="25"/>
      <c r="D34" s="5"/>
      <c r="E34" s="75"/>
      <c r="F34" s="68"/>
      <c r="G34" s="5"/>
      <c r="H34" s="5"/>
      <c r="I34" s="5"/>
    </row>
    <row r="35">
      <c r="A35" s="46"/>
      <c r="B35" s="46"/>
      <c r="C35" s="77"/>
      <c r="D35" s="46"/>
      <c r="E35" s="77"/>
      <c r="F35" s="68"/>
      <c r="G35" s="5"/>
      <c r="H35" s="5"/>
      <c r="I35" s="5"/>
    </row>
    <row r="36">
      <c r="A36" s="46"/>
      <c r="B36" s="46"/>
      <c r="C36" s="77"/>
      <c r="D36" s="46"/>
      <c r="E36" s="77"/>
      <c r="F36" s="68"/>
      <c r="G36" s="5"/>
      <c r="H36" s="5"/>
      <c r="I36" s="5"/>
    </row>
    <row r="37">
      <c r="A37" s="46"/>
      <c r="B37" s="46"/>
      <c r="C37" s="77"/>
      <c r="D37" s="46"/>
      <c r="E37" s="77"/>
      <c r="F37" s="68"/>
      <c r="G37" s="5"/>
      <c r="H37" s="5"/>
      <c r="I37" s="5"/>
    </row>
    <row r="38">
      <c r="A38" s="46"/>
      <c r="B38" s="46"/>
      <c r="C38" s="77"/>
      <c r="D38" s="46"/>
      <c r="E38" s="77"/>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77"/>
      <c r="F41" s="68"/>
      <c r="G41" s="5"/>
      <c r="H41" s="5"/>
      <c r="I41" s="5"/>
    </row>
    <row r="42">
      <c r="A42" s="46"/>
      <c r="B42" s="46"/>
      <c r="C42" s="77"/>
      <c r="D42" s="46"/>
      <c r="E42" s="77"/>
      <c r="F42" s="68"/>
      <c r="G42" s="5"/>
      <c r="H42" s="5"/>
      <c r="I42" s="5"/>
    </row>
    <row r="43">
      <c r="A43" s="46"/>
      <c r="B43" s="46"/>
      <c r="C43" s="46"/>
      <c r="D43" s="46"/>
      <c r="E43" s="77"/>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0</v>
      </c>
      <c r="D2" s="17">
        <f t="shared" ref="D2:D6" si="2">C2/COUNTA(I$2:I1000)</f>
        <v>0</v>
      </c>
      <c r="E2" s="83">
        <v>1.623502907E9</v>
      </c>
      <c r="F2" s="68">
        <f>IFERROR(__xludf.DUMMYFUNCTION("INDEX(SPLIT(E2, char(10)), 0, 1)/86400+date(1970,1,1)"),44359.54290509259)</f>
        <v>44359.54291</v>
      </c>
      <c r="G2" s="86" t="s">
        <v>394</v>
      </c>
      <c r="H2" s="84" t="s">
        <v>395</v>
      </c>
      <c r="I2" s="46" t="s">
        <v>13</v>
      </c>
    </row>
    <row r="3">
      <c r="A3" s="5" t="s">
        <v>11</v>
      </c>
      <c r="B3" s="5" t="s">
        <v>111</v>
      </c>
      <c r="C3" s="25">
        <f t="shared" si="1"/>
        <v>1</v>
      </c>
      <c r="D3" s="17">
        <f t="shared" si="2"/>
        <v>0.06666666667</v>
      </c>
      <c r="E3" s="83">
        <v>1.623503807E9</v>
      </c>
      <c r="F3" s="68">
        <f>IFERROR(__xludf.DUMMYFUNCTION("INDEX(SPLIT(E3, char(10)), 0, 1)/86400+date(1970,1,1)"),44359.55332175926)</f>
        <v>44359.55332</v>
      </c>
      <c r="G3" s="86" t="s">
        <v>396</v>
      </c>
      <c r="H3" s="84" t="s">
        <v>397</v>
      </c>
      <c r="I3" s="46" t="s">
        <v>14</v>
      </c>
    </row>
    <row r="4">
      <c r="A4" s="5" t="s">
        <v>12</v>
      </c>
      <c r="B4" s="5" t="s">
        <v>114</v>
      </c>
      <c r="C4" s="25">
        <f t="shared" si="1"/>
        <v>1</v>
      </c>
      <c r="D4" s="17">
        <f t="shared" si="2"/>
        <v>0.06666666667</v>
      </c>
      <c r="E4" s="83">
        <v>1.623504854E9</v>
      </c>
      <c r="F4" s="68">
        <f>IFERROR(__xludf.DUMMYFUNCTION("INDEX(SPLIT(E4, char(10)), 0, 1)/86400+date(1970,1,1)"),44359.56543981482)</f>
        <v>44359.56544</v>
      </c>
      <c r="G4" s="86" t="s">
        <v>398</v>
      </c>
      <c r="H4" s="84" t="s">
        <v>399</v>
      </c>
      <c r="I4" s="46" t="s">
        <v>14</v>
      </c>
    </row>
    <row r="5">
      <c r="A5" s="5" t="s">
        <v>13</v>
      </c>
      <c r="B5" s="5" t="s">
        <v>117</v>
      </c>
      <c r="C5" s="25">
        <f t="shared" si="1"/>
        <v>7</v>
      </c>
      <c r="D5" s="17">
        <f t="shared" si="2"/>
        <v>0.4666666667</v>
      </c>
      <c r="E5" s="83">
        <v>1.623505685E9</v>
      </c>
      <c r="F5" s="68">
        <f>IFERROR(__xludf.DUMMYFUNCTION("INDEX(SPLIT(E5, char(10)), 0, 1)/86400+date(1970,1,1)"),44359.575057870374)</f>
        <v>44359.57506</v>
      </c>
      <c r="G5" s="86" t="s">
        <v>400</v>
      </c>
      <c r="H5" s="84" t="s">
        <v>401</v>
      </c>
      <c r="I5" s="46" t="s">
        <v>14</v>
      </c>
    </row>
    <row r="6">
      <c r="A6" s="5" t="s">
        <v>14</v>
      </c>
      <c r="B6" s="5" t="s">
        <v>120</v>
      </c>
      <c r="C6" s="25">
        <f t="shared" si="1"/>
        <v>6</v>
      </c>
      <c r="D6" s="17">
        <f t="shared" si="2"/>
        <v>0.4</v>
      </c>
      <c r="E6" s="83">
        <v>1.623505802E9</v>
      </c>
      <c r="F6" s="68">
        <f>IFERROR(__xludf.DUMMYFUNCTION("INDEX(SPLIT(E6, char(10)), 0, 1)/86400+date(1970,1,1)"),44359.57641203704)</f>
        <v>44359.57641</v>
      </c>
      <c r="G6" s="86" t="s">
        <v>402</v>
      </c>
      <c r="H6" s="84" t="s">
        <v>403</v>
      </c>
      <c r="I6" s="46" t="s">
        <v>14</v>
      </c>
    </row>
    <row r="7">
      <c r="A7" s="5"/>
      <c r="B7" s="5" t="s">
        <v>10</v>
      </c>
      <c r="C7" s="23">
        <f t="shared" ref="C7:D7" si="3">SUM(C2:C6)</f>
        <v>15</v>
      </c>
      <c r="D7" s="70">
        <f t="shared" si="3"/>
        <v>1</v>
      </c>
      <c r="E7" s="83">
        <v>1.623506932E9</v>
      </c>
      <c r="F7" s="68">
        <f>IFERROR(__xludf.DUMMYFUNCTION("INDEX(SPLIT(E7, char(10)), 0, 1)/86400+date(1970,1,1)"),44359.58949074074)</f>
        <v>44359.58949</v>
      </c>
      <c r="G7" s="86" t="s">
        <v>404</v>
      </c>
      <c r="H7" s="84" t="s">
        <v>405</v>
      </c>
      <c r="I7" s="46" t="s">
        <v>13</v>
      </c>
    </row>
    <row r="8">
      <c r="A8" s="71"/>
      <c r="B8" s="5" t="s">
        <v>15</v>
      </c>
      <c r="C8" s="25">
        <f t="shared" ref="C8:D8" si="4">SUM(C5:C6)</f>
        <v>13</v>
      </c>
      <c r="D8" s="17">
        <f t="shared" si="4"/>
        <v>0.8666666667</v>
      </c>
      <c r="E8" s="83">
        <v>1.623507024E9</v>
      </c>
      <c r="F8" s="68">
        <f>IFERROR(__xludf.DUMMYFUNCTION("INDEX(SPLIT(E8, char(10)), 0, 1)/86400+date(1970,1,1)"),44359.59055555555)</f>
        <v>44359.59056</v>
      </c>
      <c r="G8" s="86" t="s">
        <v>406</v>
      </c>
      <c r="H8" s="84" t="s">
        <v>407</v>
      </c>
      <c r="I8" s="46" t="s">
        <v>14</v>
      </c>
    </row>
    <row r="9">
      <c r="A9" s="71"/>
      <c r="B9" s="5" t="s">
        <v>127</v>
      </c>
      <c r="C9" s="25">
        <f>C2+C5+C6</f>
        <v>13</v>
      </c>
      <c r="D9" s="17">
        <f>SUM(D5:D6) + D2</f>
        <v>0.8666666667</v>
      </c>
      <c r="E9" s="83">
        <v>1.623507816E9</v>
      </c>
      <c r="F9" s="68">
        <f>IFERROR(__xludf.DUMMYFUNCTION("INDEX(SPLIT(E9, char(10)), 0, 1)/86400+date(1970,1,1)"),44359.59972222222)</f>
        <v>44359.59972</v>
      </c>
      <c r="G9" s="86" t="s">
        <v>408</v>
      </c>
      <c r="H9" s="84" t="s">
        <v>409</v>
      </c>
      <c r="I9" s="46" t="s">
        <v>13</v>
      </c>
    </row>
    <row r="10">
      <c r="A10" s="71"/>
      <c r="B10" s="71"/>
      <c r="C10" s="71"/>
      <c r="D10" s="71"/>
      <c r="E10" s="83">
        <v>1.623508046E9</v>
      </c>
      <c r="F10" s="68">
        <f>IFERROR(__xludf.DUMMYFUNCTION("INDEX(SPLIT(E10, char(10)), 0, 1)/86400+date(1970,1,1)"),44359.602384259255)</f>
        <v>44359.60238</v>
      </c>
      <c r="G10" s="86" t="s">
        <v>410</v>
      </c>
      <c r="H10" s="84" t="s">
        <v>411</v>
      </c>
      <c r="I10" s="46" t="s">
        <v>13</v>
      </c>
    </row>
    <row r="11">
      <c r="A11" s="71"/>
      <c r="B11" s="71"/>
      <c r="C11" s="71"/>
      <c r="D11" s="71"/>
      <c r="E11" s="83">
        <v>1.623508438E9</v>
      </c>
      <c r="F11" s="68">
        <f>IFERROR(__xludf.DUMMYFUNCTION("INDEX(SPLIT(E11, char(10)), 0, 1)/86400+date(1970,1,1)"),44359.6069212963)</f>
        <v>44359.60692</v>
      </c>
      <c r="G11" s="86" t="s">
        <v>412</v>
      </c>
      <c r="H11" s="84" t="s">
        <v>413</v>
      </c>
      <c r="I11" s="46" t="s">
        <v>13</v>
      </c>
    </row>
    <row r="12">
      <c r="A12" s="13" t="s">
        <v>134</v>
      </c>
      <c r="B12" s="85" t="s">
        <v>414</v>
      </c>
      <c r="C12" s="71"/>
      <c r="D12" s="71"/>
      <c r="E12" s="83">
        <v>1.623508717E9</v>
      </c>
      <c r="F12" s="68">
        <f>IFERROR(__xludf.DUMMYFUNCTION("INDEX(SPLIT(E12, char(10)), 0, 1)/86400+date(1970,1,1)"),44359.61015046296)</f>
        <v>44359.61015</v>
      </c>
      <c r="G12" s="86" t="s">
        <v>415</v>
      </c>
      <c r="H12" s="84" t="s">
        <v>416</v>
      </c>
      <c r="I12" s="46" t="s">
        <v>12</v>
      </c>
    </row>
    <row r="13">
      <c r="A13" s="13" t="s">
        <v>138</v>
      </c>
      <c r="B13" s="71"/>
      <c r="C13" s="13" t="s">
        <v>101</v>
      </c>
      <c r="D13" s="13" t="s">
        <v>102</v>
      </c>
      <c r="E13" s="83">
        <v>1.623509028E9</v>
      </c>
      <c r="F13" s="68">
        <f>IFERROR(__xludf.DUMMYFUNCTION("INDEX(SPLIT(E13, char(10)), 0, 1)/86400+date(1970,1,1)"),44359.613750000004)</f>
        <v>44359.61375</v>
      </c>
      <c r="G13" s="86" t="s">
        <v>417</v>
      </c>
      <c r="H13" s="84" t="s">
        <v>418</v>
      </c>
      <c r="I13" s="46" t="s">
        <v>14</v>
      </c>
    </row>
    <row r="14">
      <c r="A14" s="5" t="s">
        <v>141</v>
      </c>
      <c r="B14" s="5" t="s">
        <v>142</v>
      </c>
      <c r="C14" s="23">
        <f t="shared" ref="C14:C17" si="5">COUNTIF($A$19:$A1000, A14)</f>
        <v>3</v>
      </c>
      <c r="D14" s="17">
        <f>IFERROR(__xludf.DUMMYFUNCTION("IF(C14, COUNTIF(FILTER($D$20:$D1000, $A$20:$A1000=A14), TRUE)/C14, 0)"),1.0)</f>
        <v>1</v>
      </c>
      <c r="E14" s="83">
        <v>1.623509126E9</v>
      </c>
      <c r="F14" s="68">
        <f>IFERROR(__xludf.DUMMYFUNCTION("INDEX(SPLIT(E14, char(10)), 0, 1)/86400+date(1970,1,1)"),44359.61488425926)</f>
        <v>44359.61488</v>
      </c>
      <c r="G14" s="86" t="s">
        <v>419</v>
      </c>
      <c r="H14" s="84" t="s">
        <v>420</v>
      </c>
      <c r="I14" s="46" t="s">
        <v>13</v>
      </c>
    </row>
    <row r="15">
      <c r="A15" s="5" t="s">
        <v>3</v>
      </c>
      <c r="B15" s="5" t="s">
        <v>145</v>
      </c>
      <c r="C15" s="23">
        <f t="shared" si="5"/>
        <v>3</v>
      </c>
      <c r="D15" s="17">
        <f>IFERROR(__xludf.DUMMYFUNCTION("IF(C15, COUNTIF(FILTER($D$20:$D1000, $A$20:$A1000=A15), TRUE)/C15, 0)"),0.3333333333333333)</f>
        <v>0.3333333333</v>
      </c>
      <c r="E15" s="83">
        <v>1.623509417E9</v>
      </c>
      <c r="F15" s="68">
        <f>IFERROR(__xludf.DUMMYFUNCTION("INDEX(SPLIT(E15, char(10)), 0, 1)/86400+date(1970,1,1)"),44359.618252314816)</f>
        <v>44359.61825</v>
      </c>
      <c r="G15" s="86" t="s">
        <v>421</v>
      </c>
      <c r="H15" s="84" t="s">
        <v>422</v>
      </c>
      <c r="I15" s="46" t="s">
        <v>11</v>
      </c>
    </row>
    <row r="16">
      <c r="A16" s="5" t="s">
        <v>4</v>
      </c>
      <c r="B16" s="5" t="s">
        <v>148</v>
      </c>
      <c r="C16" s="23">
        <f t="shared" si="5"/>
        <v>4</v>
      </c>
      <c r="D16" s="17">
        <f>IFERROR(__xludf.DUMMYFUNCTION("IF(C16, COUNTIF(FILTER($D$20:$D1000, $A$20:$A1000=A16), TRUE)/C16, 0)"),0.5)</f>
        <v>0.5</v>
      </c>
      <c r="E16" s="83">
        <v>1.62350982E9</v>
      </c>
      <c r="F16" s="68">
        <f>IFERROR(__xludf.DUMMYFUNCTION("INDEX(SPLIT(E16, char(10)), 0, 1)/86400+date(1970,1,1)"),44359.62291666667)</f>
        <v>44359.62292</v>
      </c>
      <c r="G16" s="86" t="s">
        <v>423</v>
      </c>
      <c r="H16" s="84" t="s">
        <v>424</v>
      </c>
      <c r="I16" s="46" t="s">
        <v>13</v>
      </c>
    </row>
    <row r="17">
      <c r="A17" s="5" t="s">
        <v>5</v>
      </c>
      <c r="B17" s="5" t="s">
        <v>151</v>
      </c>
      <c r="C17" s="23">
        <f t="shared" si="5"/>
        <v>4</v>
      </c>
      <c r="D17" s="17">
        <f>IFERROR(__xludf.DUMMYFUNCTION("IF(C17, COUNTIF(FILTER($D$20:$D1000, $A$20:$A1000=A17), TRUE)/C17, 0)"),0.5)</f>
        <v>0.5</v>
      </c>
      <c r="E17" s="83"/>
      <c r="F17" s="68"/>
      <c r="H17" s="84"/>
      <c r="I17" s="46"/>
    </row>
    <row r="18">
      <c r="A18" s="71"/>
      <c r="B18" s="13" t="s">
        <v>6</v>
      </c>
      <c r="C18" s="23">
        <f>SUM(C14:C17)</f>
        <v>14</v>
      </c>
      <c r="D18" s="17">
        <f>COUNTIF($D$19:$D1000, TRUE)/SUM($C$14:$C$17)</f>
        <v>0.5714285714</v>
      </c>
      <c r="E18" s="83"/>
      <c r="F18" s="68"/>
      <c r="H18" s="84"/>
      <c r="I18" s="46"/>
    </row>
    <row r="19">
      <c r="A19" s="13" t="s">
        <v>107</v>
      </c>
      <c r="B19" s="13" t="s">
        <v>156</v>
      </c>
      <c r="C19" s="13" t="s">
        <v>157</v>
      </c>
      <c r="D19" s="13" t="s">
        <v>158</v>
      </c>
      <c r="E19" s="83"/>
      <c r="F19" s="68"/>
      <c r="H19" s="84"/>
      <c r="I19" s="46"/>
    </row>
    <row r="20">
      <c r="A20" s="5" t="s">
        <v>4</v>
      </c>
      <c r="B20" s="5" t="s">
        <v>161</v>
      </c>
      <c r="C20" s="25">
        <v>1.0</v>
      </c>
      <c r="D20" s="79" t="b">
        <v>1</v>
      </c>
      <c r="E20" s="83"/>
      <c r="F20" s="68"/>
      <c r="H20" s="84"/>
      <c r="I20" s="46"/>
    </row>
    <row r="21">
      <c r="A21" s="5" t="s">
        <v>3</v>
      </c>
      <c r="B21" s="5" t="s">
        <v>164</v>
      </c>
      <c r="C21" s="25">
        <v>30.0</v>
      </c>
      <c r="D21" s="79" t="b">
        <v>0</v>
      </c>
      <c r="E21" s="83"/>
      <c r="F21" s="68"/>
      <c r="H21" s="84"/>
      <c r="I21" s="46"/>
    </row>
    <row r="22">
      <c r="A22" s="5" t="s">
        <v>4</v>
      </c>
      <c r="B22" s="5" t="s">
        <v>167</v>
      </c>
      <c r="C22" s="25">
        <v>45.0</v>
      </c>
      <c r="D22" s="79" t="b">
        <v>0</v>
      </c>
      <c r="F22" s="68"/>
      <c r="G22" s="84"/>
      <c r="H22" s="84"/>
      <c r="I22" s="46"/>
    </row>
    <row r="23">
      <c r="A23" s="5" t="s">
        <v>4</v>
      </c>
      <c r="B23" s="5" t="s">
        <v>170</v>
      </c>
      <c r="C23" s="25">
        <v>45.0</v>
      </c>
      <c r="D23" s="79" t="b">
        <v>0</v>
      </c>
      <c r="E23" s="83"/>
      <c r="F23" s="68"/>
      <c r="G23" s="84"/>
      <c r="H23" s="84"/>
      <c r="I23" s="46"/>
    </row>
    <row r="24">
      <c r="A24" s="5" t="s">
        <v>3</v>
      </c>
      <c r="B24" s="5" t="s">
        <v>173</v>
      </c>
      <c r="C24" s="25">
        <v>47.0</v>
      </c>
      <c r="D24" s="79" t="b">
        <v>0</v>
      </c>
      <c r="E24" s="83"/>
      <c r="F24" s="68"/>
      <c r="G24" s="84"/>
      <c r="H24" s="84"/>
      <c r="I24" s="46"/>
    </row>
    <row r="25">
      <c r="A25" s="5" t="s">
        <v>141</v>
      </c>
      <c r="B25" s="71" t="s">
        <v>176</v>
      </c>
      <c r="C25" s="25">
        <v>49.0</v>
      </c>
      <c r="D25" s="79" t="b">
        <v>1</v>
      </c>
      <c r="E25" s="83"/>
      <c r="F25" s="68"/>
      <c r="G25" s="84"/>
      <c r="H25" s="84"/>
      <c r="I25" s="46"/>
    </row>
    <row r="26">
      <c r="A26" s="5" t="s">
        <v>3</v>
      </c>
      <c r="B26" s="71" t="s">
        <v>179</v>
      </c>
      <c r="C26" s="25">
        <v>63.0</v>
      </c>
      <c r="D26" s="79" t="b">
        <v>1</v>
      </c>
      <c r="E26" s="83"/>
      <c r="F26" s="68"/>
      <c r="G26" s="84"/>
      <c r="H26" s="84"/>
      <c r="I26" s="46"/>
    </row>
    <row r="27">
      <c r="A27" s="5" t="s">
        <v>5</v>
      </c>
      <c r="B27" s="71" t="s">
        <v>182</v>
      </c>
      <c r="C27" s="25">
        <v>66.0</v>
      </c>
      <c r="D27" s="79" t="b">
        <v>1</v>
      </c>
      <c r="E27" s="83"/>
      <c r="F27" s="68"/>
      <c r="G27" s="84"/>
      <c r="H27" s="84"/>
      <c r="I27" s="46"/>
    </row>
    <row r="28">
      <c r="A28" s="5" t="s">
        <v>141</v>
      </c>
      <c r="B28" s="71" t="s">
        <v>173</v>
      </c>
      <c r="C28" s="25">
        <v>74.0</v>
      </c>
      <c r="D28" s="79" t="b">
        <v>1</v>
      </c>
      <c r="E28" s="83"/>
      <c r="F28" s="68"/>
      <c r="G28" s="84"/>
      <c r="H28" s="84"/>
      <c r="I28" s="46"/>
    </row>
    <row r="29">
      <c r="A29" s="5" t="s">
        <v>5</v>
      </c>
      <c r="B29" s="71" t="s">
        <v>187</v>
      </c>
      <c r="C29" s="25">
        <v>75.0</v>
      </c>
      <c r="D29" s="79" t="b">
        <v>1</v>
      </c>
      <c r="E29" s="87"/>
      <c r="F29" s="68"/>
      <c r="G29" s="84"/>
      <c r="H29" s="84"/>
      <c r="I29" s="46"/>
    </row>
    <row r="30">
      <c r="A30" s="5" t="s">
        <v>5</v>
      </c>
      <c r="B30" s="71" t="s">
        <v>190</v>
      </c>
      <c r="C30" s="25">
        <v>84.0</v>
      </c>
      <c r="D30" s="79" t="b">
        <v>0</v>
      </c>
      <c r="E30" s="78"/>
      <c r="F30" s="68"/>
      <c r="G30" s="84"/>
      <c r="H30" s="84"/>
      <c r="I30" s="46"/>
    </row>
    <row r="31">
      <c r="A31" s="5" t="s">
        <v>141</v>
      </c>
      <c r="B31" s="71" t="s">
        <v>193</v>
      </c>
      <c r="C31" s="25">
        <v>85.0</v>
      </c>
      <c r="D31" s="79" t="b">
        <v>1</v>
      </c>
      <c r="E31" s="87"/>
      <c r="F31" s="68"/>
      <c r="G31" s="84"/>
      <c r="H31" s="84"/>
      <c r="I31" s="46"/>
    </row>
    <row r="32">
      <c r="A32" s="5" t="s">
        <v>5</v>
      </c>
      <c r="B32" s="71" t="s">
        <v>194</v>
      </c>
      <c r="C32" s="25">
        <v>93.0</v>
      </c>
      <c r="D32" s="79" t="b">
        <v>0</v>
      </c>
      <c r="E32" s="87"/>
      <c r="F32" s="68"/>
      <c r="G32" s="84"/>
      <c r="H32" s="84"/>
      <c r="I32" s="46"/>
    </row>
    <row r="33">
      <c r="A33" s="5" t="s">
        <v>4</v>
      </c>
      <c r="B33" s="71" t="s">
        <v>195</v>
      </c>
      <c r="C33" s="25">
        <v>90.0</v>
      </c>
      <c r="D33" s="79" t="b">
        <v>1</v>
      </c>
      <c r="E33" s="87"/>
      <c r="F33" s="68"/>
      <c r="G33" s="84"/>
      <c r="H33" s="84"/>
      <c r="I33" s="5"/>
    </row>
    <row r="34">
      <c r="A34" s="5"/>
      <c r="B34" s="71"/>
      <c r="C34" s="25"/>
      <c r="D34" s="5"/>
      <c r="E34" s="75"/>
      <c r="F34" s="68"/>
      <c r="G34" s="5"/>
      <c r="H34" s="5"/>
      <c r="I34" s="5"/>
    </row>
    <row r="35">
      <c r="A35" s="46"/>
      <c r="B35" s="46"/>
      <c r="C35" s="77"/>
      <c r="D35" s="46"/>
      <c r="E35" s="77"/>
      <c r="F35" s="68"/>
      <c r="G35" s="5"/>
      <c r="H35" s="5"/>
      <c r="I35" s="5"/>
    </row>
    <row r="36">
      <c r="A36" s="46"/>
      <c r="B36" s="46"/>
      <c r="C36" s="77"/>
      <c r="D36" s="46"/>
      <c r="E36" s="77"/>
      <c r="F36" s="68"/>
      <c r="G36" s="5"/>
      <c r="H36" s="5"/>
      <c r="I36" s="5"/>
    </row>
    <row r="37">
      <c r="A37" s="46"/>
      <c r="B37" s="46"/>
      <c r="C37" s="77"/>
      <c r="D37" s="46"/>
      <c r="E37" s="77"/>
      <c r="F37" s="68"/>
      <c r="G37" s="5"/>
      <c r="H37" s="5"/>
      <c r="I37" s="5"/>
    </row>
    <row r="38">
      <c r="A38" s="46"/>
      <c r="B38" s="46"/>
      <c r="C38" s="77"/>
      <c r="D38" s="46"/>
      <c r="E38" s="77"/>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77"/>
      <c r="F41" s="68"/>
      <c r="G41" s="5"/>
      <c r="H41" s="5"/>
      <c r="I41" s="5"/>
    </row>
    <row r="42">
      <c r="A42" s="46"/>
      <c r="B42" s="46"/>
      <c r="C42" s="77"/>
      <c r="D42" s="46"/>
      <c r="E42" s="77"/>
      <c r="F42" s="68"/>
      <c r="G42" s="5"/>
      <c r="H42" s="5"/>
      <c r="I42" s="5"/>
    </row>
    <row r="43">
      <c r="A43" s="46"/>
      <c r="B43" s="46"/>
      <c r="C43" s="46"/>
      <c r="D43" s="46"/>
      <c r="E43" s="77"/>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1</v>
      </c>
      <c r="D2" s="17">
        <f t="shared" ref="D2:D6" si="2">C2/COUNTA(I$2:I1000)</f>
        <v>0.04166666667</v>
      </c>
      <c r="E2" s="83">
        <v>1.623502953E9</v>
      </c>
      <c r="F2" s="68">
        <f>IFERROR(__xludf.DUMMYFUNCTION("INDEX(SPLIT(E2, char(10)), 0, 1)/86400+date(1970,1,1)"),44359.543437500004)</f>
        <v>44359.54344</v>
      </c>
      <c r="G2" s="86" t="s">
        <v>425</v>
      </c>
      <c r="H2" s="84" t="s">
        <v>426</v>
      </c>
      <c r="I2" s="46" t="s">
        <v>13</v>
      </c>
    </row>
    <row r="3">
      <c r="A3" s="5" t="s">
        <v>11</v>
      </c>
      <c r="B3" s="5" t="s">
        <v>111</v>
      </c>
      <c r="C3" s="25">
        <f t="shared" si="1"/>
        <v>2</v>
      </c>
      <c r="D3" s="17">
        <f t="shared" si="2"/>
        <v>0.08333333333</v>
      </c>
      <c r="E3" s="83">
        <v>1.62350387E9</v>
      </c>
      <c r="F3" s="68">
        <f>IFERROR(__xludf.DUMMYFUNCTION("INDEX(SPLIT(E3, char(10)), 0, 1)/86400+date(1970,1,1)"),44359.55405092593)</f>
        <v>44359.55405</v>
      </c>
      <c r="G3" s="86" t="s">
        <v>398</v>
      </c>
      <c r="H3" s="84" t="s">
        <v>427</v>
      </c>
      <c r="I3" s="46" t="s">
        <v>14</v>
      </c>
    </row>
    <row r="4">
      <c r="A4" s="5" t="s">
        <v>12</v>
      </c>
      <c r="B4" s="5" t="s">
        <v>114</v>
      </c>
      <c r="C4" s="25">
        <f t="shared" si="1"/>
        <v>2</v>
      </c>
      <c r="D4" s="17">
        <f t="shared" si="2"/>
        <v>0.08333333333</v>
      </c>
      <c r="E4" s="83">
        <v>1.623504274E9</v>
      </c>
      <c r="F4" s="68">
        <f>IFERROR(__xludf.DUMMYFUNCTION("INDEX(SPLIT(E4, char(10)), 0, 1)/86400+date(1970,1,1)"),44359.55872685185)</f>
        <v>44359.55873</v>
      </c>
      <c r="G4" s="86" t="s">
        <v>428</v>
      </c>
      <c r="H4" s="84" t="s">
        <v>429</v>
      </c>
      <c r="I4" s="46" t="s">
        <v>14</v>
      </c>
    </row>
    <row r="5">
      <c r="A5" s="5" t="s">
        <v>13</v>
      </c>
      <c r="B5" s="5" t="s">
        <v>117</v>
      </c>
      <c r="C5" s="25">
        <f t="shared" si="1"/>
        <v>9</v>
      </c>
      <c r="D5" s="17">
        <f t="shared" si="2"/>
        <v>0.375</v>
      </c>
      <c r="E5" s="83">
        <v>1.623504446E9</v>
      </c>
      <c r="F5" s="68">
        <f>IFERROR(__xludf.DUMMYFUNCTION("INDEX(SPLIT(E5, char(10)), 0, 1)/86400+date(1970,1,1)"),44359.5607175926)</f>
        <v>44359.56072</v>
      </c>
      <c r="G5" s="86" t="s">
        <v>287</v>
      </c>
      <c r="H5" s="84" t="s">
        <v>430</v>
      </c>
      <c r="I5" s="46" t="s">
        <v>12</v>
      </c>
    </row>
    <row r="6">
      <c r="A6" s="5" t="s">
        <v>14</v>
      </c>
      <c r="B6" s="5" t="s">
        <v>120</v>
      </c>
      <c r="C6" s="25">
        <f t="shared" si="1"/>
        <v>10</v>
      </c>
      <c r="D6" s="17">
        <f t="shared" si="2"/>
        <v>0.4166666667</v>
      </c>
      <c r="E6" s="83">
        <v>1.623504776E9</v>
      </c>
      <c r="F6" s="68">
        <f>IFERROR(__xludf.DUMMYFUNCTION("INDEX(SPLIT(E6, char(10)), 0, 1)/86400+date(1970,1,1)"),44359.56453703703)</f>
        <v>44359.56454</v>
      </c>
      <c r="G6" s="86" t="s">
        <v>431</v>
      </c>
      <c r="H6" s="84" t="s">
        <v>432</v>
      </c>
      <c r="I6" s="46" t="s">
        <v>13</v>
      </c>
    </row>
    <row r="7">
      <c r="A7" s="5"/>
      <c r="B7" s="5" t="s">
        <v>10</v>
      </c>
      <c r="C7" s="23">
        <f t="shared" ref="C7:D7" si="3">SUM(C2:C6)</f>
        <v>24</v>
      </c>
      <c r="D7" s="70">
        <f t="shared" si="3"/>
        <v>1</v>
      </c>
      <c r="E7" s="83">
        <v>1.623505692E9</v>
      </c>
      <c r="F7" s="68">
        <f>IFERROR(__xludf.DUMMYFUNCTION("INDEX(SPLIT(E7, char(10)), 0, 1)/86400+date(1970,1,1)"),44359.57513888889)</f>
        <v>44359.57514</v>
      </c>
      <c r="G7" s="86" t="s">
        <v>433</v>
      </c>
      <c r="H7" s="84" t="s">
        <v>434</v>
      </c>
      <c r="I7" s="46" t="s">
        <v>14</v>
      </c>
    </row>
    <row r="8">
      <c r="A8" s="71"/>
      <c r="B8" s="5" t="s">
        <v>15</v>
      </c>
      <c r="C8" s="25">
        <f t="shared" ref="C8:D8" si="4">SUM(C5:C6)</f>
        <v>19</v>
      </c>
      <c r="D8" s="17">
        <f t="shared" si="4"/>
        <v>0.7916666667</v>
      </c>
      <c r="E8" s="83">
        <v>1.623505825E9</v>
      </c>
      <c r="F8" s="68">
        <f>IFERROR(__xludf.DUMMYFUNCTION("INDEX(SPLIT(E8, char(10)), 0, 1)/86400+date(1970,1,1)"),44359.576678240745)</f>
        <v>44359.57668</v>
      </c>
      <c r="G8" s="86" t="s">
        <v>435</v>
      </c>
      <c r="H8" s="84" t="s">
        <v>436</v>
      </c>
      <c r="I8" s="46" t="s">
        <v>13</v>
      </c>
    </row>
    <row r="9">
      <c r="A9" s="71"/>
      <c r="B9" s="5" t="s">
        <v>127</v>
      </c>
      <c r="C9" s="25">
        <f>C2+C5+C6</f>
        <v>20</v>
      </c>
      <c r="D9" s="17">
        <f>SUM(D5:D6) + D2</f>
        <v>0.8333333333</v>
      </c>
      <c r="E9" s="83">
        <v>1.623506872E9</v>
      </c>
      <c r="F9" s="68">
        <f>IFERROR(__xludf.DUMMYFUNCTION("INDEX(SPLIT(E9, char(10)), 0, 1)/86400+date(1970,1,1)"),44359.588796296295)</f>
        <v>44359.5888</v>
      </c>
      <c r="G9" s="86" t="s">
        <v>437</v>
      </c>
      <c r="H9" s="84" t="s">
        <v>438</v>
      </c>
      <c r="I9" s="46" t="s">
        <v>13</v>
      </c>
    </row>
    <row r="10">
      <c r="A10" s="71"/>
      <c r="B10" s="71"/>
      <c r="C10" s="71"/>
      <c r="D10" s="71"/>
      <c r="E10" s="83">
        <v>1.62350697E9</v>
      </c>
      <c r="F10" s="68">
        <f>IFERROR(__xludf.DUMMYFUNCTION("INDEX(SPLIT(E10, char(10)), 0, 1)/86400+date(1970,1,1)"),44359.58993055555)</f>
        <v>44359.58993</v>
      </c>
      <c r="G10" s="86" t="s">
        <v>439</v>
      </c>
      <c r="H10" s="84" t="s">
        <v>440</v>
      </c>
      <c r="I10" s="46" t="s">
        <v>93</v>
      </c>
    </row>
    <row r="11">
      <c r="A11" s="71"/>
      <c r="B11" s="71"/>
      <c r="C11" s="71"/>
      <c r="D11" s="71"/>
      <c r="E11" s="83">
        <v>1.623507348E9</v>
      </c>
      <c r="F11" s="68">
        <f>IFERROR(__xludf.DUMMYFUNCTION("INDEX(SPLIT(E11, char(10)), 0, 1)/86400+date(1970,1,1)"),44359.594305555554)</f>
        <v>44359.59431</v>
      </c>
      <c r="G11" s="86" t="s">
        <v>441</v>
      </c>
      <c r="H11" s="84" t="s">
        <v>442</v>
      </c>
      <c r="I11" s="46" t="s">
        <v>11</v>
      </c>
    </row>
    <row r="12">
      <c r="A12" s="13" t="s">
        <v>134</v>
      </c>
      <c r="B12" s="85" t="s">
        <v>443</v>
      </c>
      <c r="C12" s="71"/>
      <c r="D12" s="71"/>
      <c r="E12" s="83">
        <v>1.623507807E9</v>
      </c>
      <c r="F12" s="68">
        <f>IFERROR(__xludf.DUMMYFUNCTION("INDEX(SPLIT(E12, char(10)), 0, 1)/86400+date(1970,1,1)"),44359.59961805555)</f>
        <v>44359.59962</v>
      </c>
      <c r="G12" s="86" t="s">
        <v>444</v>
      </c>
      <c r="H12" s="84" t="s">
        <v>445</v>
      </c>
      <c r="I12" s="46" t="s">
        <v>13</v>
      </c>
    </row>
    <row r="13">
      <c r="A13" s="13" t="s">
        <v>138</v>
      </c>
      <c r="B13" s="71"/>
      <c r="C13" s="13" t="s">
        <v>101</v>
      </c>
      <c r="D13" s="13" t="s">
        <v>102</v>
      </c>
      <c r="E13" s="83">
        <v>1.623507906E9</v>
      </c>
      <c r="F13" s="68">
        <f>IFERROR(__xludf.DUMMYFUNCTION("INDEX(SPLIT(E13, char(10)), 0, 1)/86400+date(1970,1,1)"),44359.600763888884)</f>
        <v>44359.60076</v>
      </c>
      <c r="G13" s="86" t="s">
        <v>446</v>
      </c>
      <c r="H13" s="84" t="s">
        <v>447</v>
      </c>
      <c r="I13" s="46" t="s">
        <v>14</v>
      </c>
    </row>
    <row r="14">
      <c r="A14" s="5" t="s">
        <v>141</v>
      </c>
      <c r="B14" s="5" t="s">
        <v>142</v>
      </c>
      <c r="C14" s="23">
        <f t="shared" ref="C14:C17" si="5">COUNTIF($A$19:$A1000, A14)</f>
        <v>3</v>
      </c>
      <c r="D14" s="17">
        <f>IFERROR(__xludf.DUMMYFUNCTION("IF(C14, COUNTIF(FILTER($D$20:$D1000, $A$20:$A1000=A14), TRUE)/C14, 0)"),1.0)</f>
        <v>1</v>
      </c>
      <c r="E14" s="83">
        <v>1.623508044E9</v>
      </c>
      <c r="F14" s="68">
        <f>IFERROR(__xludf.DUMMYFUNCTION("INDEX(SPLIT(E14, char(10)), 0, 1)/86400+date(1970,1,1)"),44359.602361111116)</f>
        <v>44359.60236</v>
      </c>
      <c r="G14" s="86" t="s">
        <v>448</v>
      </c>
      <c r="H14" s="84" t="s">
        <v>449</v>
      </c>
      <c r="I14" s="46" t="s">
        <v>13</v>
      </c>
    </row>
    <row r="15">
      <c r="A15" s="5" t="s">
        <v>3</v>
      </c>
      <c r="B15" s="5" t="s">
        <v>145</v>
      </c>
      <c r="C15" s="23">
        <f t="shared" si="5"/>
        <v>3</v>
      </c>
      <c r="D15" s="17">
        <f>IFERROR(__xludf.DUMMYFUNCTION("IF(C15, COUNTIF(FILTER($D$20:$D1000, $A$20:$A1000=A15), TRUE)/C15, 0)"),0.6666666666666666)</f>
        <v>0.6666666667</v>
      </c>
      <c r="E15" s="83">
        <v>1.623508141E9</v>
      </c>
      <c r="F15" s="68">
        <f>IFERROR(__xludf.DUMMYFUNCTION("INDEX(SPLIT(E15, char(10)), 0, 1)/86400+date(1970,1,1)"),44359.603483796294)</f>
        <v>44359.60348</v>
      </c>
      <c r="G15" s="86" t="s">
        <v>450</v>
      </c>
      <c r="H15" s="84" t="s">
        <v>451</v>
      </c>
      <c r="I15" s="46" t="s">
        <v>14</v>
      </c>
    </row>
    <row r="16">
      <c r="A16" s="5" t="s">
        <v>4</v>
      </c>
      <c r="B16" s="5" t="s">
        <v>148</v>
      </c>
      <c r="C16" s="23">
        <f t="shared" si="5"/>
        <v>4</v>
      </c>
      <c r="D16" s="17">
        <f>IFERROR(__xludf.DUMMYFUNCTION("IF(C16, COUNTIF(FILTER($D$20:$D1000, $A$20:$A1000=A16), TRUE)/C16, 0)"),0.75)</f>
        <v>0.75</v>
      </c>
      <c r="E16" s="83">
        <v>1.62350845E9</v>
      </c>
      <c r="F16" s="68">
        <f>IFERROR(__xludf.DUMMYFUNCTION("INDEX(SPLIT(E16, char(10)), 0, 1)/86400+date(1970,1,1)"),44359.60706018518)</f>
        <v>44359.60706</v>
      </c>
      <c r="G16" s="86" t="s">
        <v>452</v>
      </c>
      <c r="H16" s="84" t="s">
        <v>453</v>
      </c>
      <c r="I16" s="46" t="s">
        <v>13</v>
      </c>
    </row>
    <row r="17">
      <c r="A17" s="5" t="s">
        <v>5</v>
      </c>
      <c r="B17" s="5" t="s">
        <v>151</v>
      </c>
      <c r="C17" s="23">
        <f t="shared" si="5"/>
        <v>4</v>
      </c>
      <c r="D17" s="17">
        <f>IFERROR(__xludf.DUMMYFUNCTION("IF(C17, COUNTIF(FILTER($D$20:$D1000, $A$20:$A1000=A17), TRUE)/C17, 0)"),0.25)</f>
        <v>0.25</v>
      </c>
      <c r="E17" s="83">
        <v>1.623508635E9</v>
      </c>
      <c r="F17" s="68">
        <f>IFERROR(__xludf.DUMMYFUNCTION("INDEX(SPLIT(E17, char(10)), 0, 1)/86400+date(1970,1,1)"),44359.609201388885)</f>
        <v>44359.6092</v>
      </c>
      <c r="G17" s="86" t="s">
        <v>454</v>
      </c>
      <c r="H17" s="84" t="s">
        <v>455</v>
      </c>
      <c r="I17" s="46" t="s">
        <v>11</v>
      </c>
    </row>
    <row r="18">
      <c r="A18" s="71"/>
      <c r="B18" s="13" t="s">
        <v>6</v>
      </c>
      <c r="C18" s="23">
        <f>SUM(C14:C17)</f>
        <v>14</v>
      </c>
      <c r="D18" s="17">
        <f>COUNTIF($D$19:$D1000, TRUE)/SUM($C$14:$C$17)</f>
        <v>0.6428571429</v>
      </c>
      <c r="E18" s="83">
        <v>1.623508731E9</v>
      </c>
      <c r="F18" s="68">
        <f>IFERROR(__xludf.DUMMYFUNCTION("INDEX(SPLIT(E18, char(10)), 0, 1)/86400+date(1970,1,1)"),44359.6103125)</f>
        <v>44359.61031</v>
      </c>
      <c r="G18" s="86" t="s">
        <v>456</v>
      </c>
      <c r="H18" s="84" t="s">
        <v>457</v>
      </c>
      <c r="I18" s="46" t="s">
        <v>14</v>
      </c>
    </row>
    <row r="19">
      <c r="A19" s="13" t="s">
        <v>107</v>
      </c>
      <c r="B19" s="13" t="s">
        <v>156</v>
      </c>
      <c r="C19" s="13" t="s">
        <v>157</v>
      </c>
      <c r="D19" s="13" t="s">
        <v>158</v>
      </c>
      <c r="E19" s="83">
        <v>1.623508974E9</v>
      </c>
      <c r="F19" s="68">
        <f>IFERROR(__xludf.DUMMYFUNCTION("INDEX(SPLIT(E19, char(10)), 0, 1)/86400+date(1970,1,1)"),44359.613125)</f>
        <v>44359.61313</v>
      </c>
      <c r="G19" s="86" t="s">
        <v>458</v>
      </c>
      <c r="H19" s="84" t="s">
        <v>459</v>
      </c>
      <c r="I19" s="46" t="s">
        <v>14</v>
      </c>
    </row>
    <row r="20">
      <c r="A20" s="5" t="s">
        <v>4</v>
      </c>
      <c r="B20" s="5" t="s">
        <v>161</v>
      </c>
      <c r="C20" s="25">
        <v>1.0</v>
      </c>
      <c r="D20" s="79" t="b">
        <v>1</v>
      </c>
      <c r="E20" s="83">
        <v>1.62350911E9</v>
      </c>
      <c r="F20" s="68">
        <f>IFERROR(__xludf.DUMMYFUNCTION("INDEX(SPLIT(E20, char(10)), 0, 1)/86400+date(1970,1,1)"),44359.614699074074)</f>
        <v>44359.6147</v>
      </c>
      <c r="G20" s="86" t="s">
        <v>460</v>
      </c>
      <c r="H20" s="84" t="s">
        <v>461</v>
      </c>
      <c r="I20" s="46" t="s">
        <v>14</v>
      </c>
    </row>
    <row r="21">
      <c r="A21" s="5" t="s">
        <v>3</v>
      </c>
      <c r="B21" s="5" t="s">
        <v>164</v>
      </c>
      <c r="C21" s="25">
        <v>30.0</v>
      </c>
      <c r="D21" s="79" t="b">
        <v>1</v>
      </c>
      <c r="E21" s="83">
        <v>1.623509202E9</v>
      </c>
      <c r="F21" s="68">
        <f>IFERROR(__xludf.DUMMYFUNCTION("INDEX(SPLIT(E21, char(10)), 0, 1)/86400+date(1970,1,1)"),44359.61576388888)</f>
        <v>44359.61576</v>
      </c>
      <c r="G21" s="86" t="s">
        <v>462</v>
      </c>
      <c r="H21" s="84" t="s">
        <v>463</v>
      </c>
      <c r="I21" s="46" t="s">
        <v>13</v>
      </c>
    </row>
    <row r="22">
      <c r="A22" s="5" t="s">
        <v>4</v>
      </c>
      <c r="B22" s="5" t="s">
        <v>167</v>
      </c>
      <c r="C22" s="25">
        <v>45.0</v>
      </c>
      <c r="D22" s="79" t="b">
        <v>1</v>
      </c>
      <c r="E22" s="86">
        <v>1.623509341E9</v>
      </c>
      <c r="F22" s="68">
        <f>IFERROR(__xludf.DUMMYFUNCTION("INDEX(SPLIT(E22, char(10)), 0, 1)/86400+date(1970,1,1)"),44359.617372685185)</f>
        <v>44359.61737</v>
      </c>
      <c r="G22" s="84" t="s">
        <v>464</v>
      </c>
      <c r="H22" s="84" t="s">
        <v>465</v>
      </c>
      <c r="I22" s="46" t="s">
        <v>14</v>
      </c>
    </row>
    <row r="23">
      <c r="A23" s="5" t="s">
        <v>4</v>
      </c>
      <c r="B23" s="5" t="s">
        <v>170</v>
      </c>
      <c r="C23" s="25">
        <v>45.0</v>
      </c>
      <c r="D23" s="79" t="b">
        <v>0</v>
      </c>
      <c r="E23" s="83">
        <v>1.623509452E9</v>
      </c>
      <c r="F23" s="68">
        <f>IFERROR(__xludf.DUMMYFUNCTION("INDEX(SPLIT(E23, char(10)), 0, 1)/86400+date(1970,1,1)"),44359.61865740741)</f>
        <v>44359.61866</v>
      </c>
      <c r="G23" s="84" t="s">
        <v>466</v>
      </c>
      <c r="H23" s="84" t="s">
        <v>467</v>
      </c>
      <c r="I23" s="46" t="s">
        <v>14</v>
      </c>
    </row>
    <row r="24">
      <c r="A24" s="5" t="s">
        <v>3</v>
      </c>
      <c r="B24" s="5" t="s">
        <v>173</v>
      </c>
      <c r="C24" s="25">
        <v>47.0</v>
      </c>
      <c r="D24" s="79" t="b">
        <v>0</v>
      </c>
      <c r="E24" s="83">
        <v>1.623509554E9</v>
      </c>
      <c r="F24" s="68">
        <f>IFERROR(__xludf.DUMMYFUNCTION("INDEX(SPLIT(E24, char(10)), 0, 1)/86400+date(1970,1,1)"),44359.619837962964)</f>
        <v>44359.61984</v>
      </c>
      <c r="G24" s="84" t="s">
        <v>468</v>
      </c>
      <c r="H24" s="84" t="s">
        <v>469</v>
      </c>
      <c r="I24" s="46" t="s">
        <v>12</v>
      </c>
    </row>
    <row r="25">
      <c r="A25" s="5" t="s">
        <v>141</v>
      </c>
      <c r="B25" s="71" t="s">
        <v>176</v>
      </c>
      <c r="C25" s="25">
        <v>49.0</v>
      </c>
      <c r="D25" s="79" t="b">
        <v>1</v>
      </c>
      <c r="E25" s="83">
        <v>1.623509735E9</v>
      </c>
      <c r="F25" s="68">
        <f>IFERROR(__xludf.DUMMYFUNCTION("INDEX(SPLIT(E25, char(10)), 0, 1)/86400+date(1970,1,1)"),44359.621932870374)</f>
        <v>44359.62193</v>
      </c>
      <c r="G25" s="84" t="s">
        <v>470</v>
      </c>
      <c r="H25" s="84" t="s">
        <v>471</v>
      </c>
      <c r="I25" s="46" t="s">
        <v>13</v>
      </c>
    </row>
    <row r="26">
      <c r="A26" s="5" t="s">
        <v>3</v>
      </c>
      <c r="B26" s="71" t="s">
        <v>179</v>
      </c>
      <c r="C26" s="25">
        <v>63.0</v>
      </c>
      <c r="D26" s="79" t="b">
        <v>1</v>
      </c>
      <c r="E26" s="83"/>
      <c r="F26" s="68"/>
      <c r="G26" s="84"/>
      <c r="H26" s="84"/>
      <c r="I26" s="46"/>
    </row>
    <row r="27">
      <c r="A27" s="5" t="s">
        <v>5</v>
      </c>
      <c r="B27" s="71" t="s">
        <v>182</v>
      </c>
      <c r="C27" s="25">
        <v>66.0</v>
      </c>
      <c r="D27" s="79" t="b">
        <v>1</v>
      </c>
      <c r="E27" s="83"/>
      <c r="F27" s="68"/>
      <c r="G27" s="84"/>
      <c r="H27" s="84"/>
      <c r="I27" s="46"/>
    </row>
    <row r="28">
      <c r="A28" s="5" t="s">
        <v>141</v>
      </c>
      <c r="B28" s="71" t="s">
        <v>173</v>
      </c>
      <c r="C28" s="25">
        <v>74.0</v>
      </c>
      <c r="D28" s="79" t="b">
        <v>1</v>
      </c>
      <c r="E28" s="83"/>
      <c r="F28" s="68"/>
      <c r="G28" s="84"/>
      <c r="H28" s="84"/>
      <c r="I28" s="46"/>
    </row>
    <row r="29">
      <c r="A29" s="5" t="s">
        <v>5</v>
      </c>
      <c r="B29" s="71" t="s">
        <v>187</v>
      </c>
      <c r="C29" s="25">
        <v>75.0</v>
      </c>
      <c r="D29" s="79" t="b">
        <v>0</v>
      </c>
      <c r="E29" s="87"/>
      <c r="F29" s="68"/>
      <c r="G29" s="84"/>
      <c r="H29" s="84"/>
      <c r="I29" s="46"/>
    </row>
    <row r="30">
      <c r="A30" s="5" t="s">
        <v>5</v>
      </c>
      <c r="B30" s="71" t="s">
        <v>190</v>
      </c>
      <c r="C30" s="25">
        <v>84.0</v>
      </c>
      <c r="D30" s="79" t="b">
        <v>0</v>
      </c>
      <c r="E30" s="78"/>
      <c r="F30" s="68"/>
      <c r="G30" s="84"/>
      <c r="H30" s="84"/>
      <c r="I30" s="46"/>
    </row>
    <row r="31">
      <c r="A31" s="5" t="s">
        <v>141</v>
      </c>
      <c r="B31" s="71" t="s">
        <v>193</v>
      </c>
      <c r="C31" s="25">
        <v>85.0</v>
      </c>
      <c r="D31" s="79" t="b">
        <v>1</v>
      </c>
      <c r="E31" s="87"/>
      <c r="F31" s="68"/>
      <c r="G31" s="84"/>
      <c r="H31" s="84"/>
      <c r="I31" s="46"/>
    </row>
    <row r="32">
      <c r="A32" s="5" t="s">
        <v>5</v>
      </c>
      <c r="B32" s="71" t="s">
        <v>194</v>
      </c>
      <c r="C32" s="25">
        <v>93.0</v>
      </c>
      <c r="D32" s="79" t="b">
        <v>0</v>
      </c>
      <c r="E32" s="87"/>
      <c r="F32" s="68"/>
      <c r="G32" s="84"/>
      <c r="H32" s="84"/>
      <c r="I32" s="46"/>
    </row>
    <row r="33">
      <c r="A33" s="5" t="s">
        <v>4</v>
      </c>
      <c r="B33" s="71" t="s">
        <v>195</v>
      </c>
      <c r="C33" s="25">
        <v>90.0</v>
      </c>
      <c r="D33" s="79" t="b">
        <v>1</v>
      </c>
      <c r="E33" s="87"/>
      <c r="F33" s="68"/>
      <c r="G33" s="84"/>
      <c r="H33" s="84"/>
      <c r="I33" s="5"/>
    </row>
    <row r="34">
      <c r="A34" s="5"/>
      <c r="B34" s="71"/>
      <c r="C34" s="25"/>
      <c r="D34" s="5"/>
      <c r="E34" s="75"/>
      <c r="F34" s="68"/>
      <c r="G34" s="5"/>
      <c r="H34" s="5"/>
      <c r="I34" s="5"/>
    </row>
    <row r="35">
      <c r="A35" s="46"/>
      <c r="B35" s="46"/>
      <c r="C35" s="77"/>
      <c r="D35" s="46"/>
      <c r="E35" s="77"/>
      <c r="F35" s="68"/>
      <c r="G35" s="5"/>
      <c r="H35" s="5"/>
      <c r="I35" s="5"/>
    </row>
    <row r="36">
      <c r="A36" s="46"/>
      <c r="B36" s="46"/>
      <c r="C36" s="77"/>
      <c r="D36" s="46"/>
      <c r="E36" s="77"/>
      <c r="F36" s="68"/>
      <c r="G36" s="5"/>
      <c r="H36" s="5"/>
      <c r="I36" s="5"/>
    </row>
    <row r="37">
      <c r="A37" s="46"/>
      <c r="B37" s="46"/>
      <c r="C37" s="77"/>
      <c r="D37" s="46"/>
      <c r="E37" s="77"/>
      <c r="F37" s="68"/>
      <c r="G37" s="5"/>
      <c r="H37" s="5"/>
      <c r="I37" s="5"/>
    </row>
    <row r="38">
      <c r="A38" s="46"/>
      <c r="B38" s="46"/>
      <c r="C38" s="77"/>
      <c r="D38" s="46"/>
      <c r="E38" s="77"/>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77"/>
      <c r="F41" s="68"/>
      <c r="G41" s="5"/>
      <c r="H41" s="5"/>
      <c r="I41" s="5"/>
    </row>
    <row r="42">
      <c r="A42" s="46"/>
      <c r="B42" s="46"/>
      <c r="C42" s="77"/>
      <c r="D42" s="46"/>
      <c r="E42" s="77"/>
      <c r="F42" s="68"/>
      <c r="G42" s="5"/>
      <c r="H42" s="5"/>
      <c r="I42" s="5"/>
    </row>
    <row r="43">
      <c r="A43" s="46"/>
      <c r="B43" s="46"/>
      <c r="C43" s="46"/>
      <c r="D43" s="46"/>
      <c r="E43" s="77"/>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 t="s">
        <v>106</v>
      </c>
      <c r="I1" s="1" t="s">
        <v>107</v>
      </c>
    </row>
    <row r="2">
      <c r="A2" s="7" t="s">
        <v>93</v>
      </c>
      <c r="B2" s="7" t="s">
        <v>108</v>
      </c>
      <c r="C2" s="67">
        <f t="shared" ref="C2:C6" si="1">COUNTIF(I:I,A2)</f>
        <v>2</v>
      </c>
      <c r="D2" s="17">
        <f t="shared" ref="D2:D6" si="2">C2/COUNTA(I$2:I1000)</f>
        <v>0.05128205128</v>
      </c>
      <c r="E2" s="67">
        <v>1.623438032E9</v>
      </c>
      <c r="F2" s="68">
        <f>IFERROR(__xludf.DUMMYFUNCTION("INDEX(SPLIT(E2, char(10)), 0, 1)/86400+date(1970,1,1)"),44358.79203703704)</f>
        <v>44358.79204</v>
      </c>
      <c r="G2" s="7" t="s">
        <v>472</v>
      </c>
      <c r="H2" s="7" t="s">
        <v>473</v>
      </c>
      <c r="I2" s="7" t="s">
        <v>14</v>
      </c>
    </row>
    <row r="3">
      <c r="A3" s="7" t="s">
        <v>11</v>
      </c>
      <c r="B3" s="7" t="s">
        <v>111</v>
      </c>
      <c r="C3" s="67">
        <f t="shared" si="1"/>
        <v>5</v>
      </c>
      <c r="D3" s="17">
        <f t="shared" si="2"/>
        <v>0.1282051282</v>
      </c>
      <c r="E3" s="67">
        <v>1.623438126E9</v>
      </c>
      <c r="F3" s="68">
        <f>IFERROR(__xludf.DUMMYFUNCTION("INDEX(SPLIT(E3, char(10)), 0, 1)/86400+date(1970,1,1)"),44358.793125)</f>
        <v>44358.79313</v>
      </c>
      <c r="G3" s="7" t="s">
        <v>474</v>
      </c>
      <c r="H3" s="69" t="s">
        <v>475</v>
      </c>
      <c r="I3" s="7" t="s">
        <v>12</v>
      </c>
    </row>
    <row r="4">
      <c r="A4" s="7" t="s">
        <v>12</v>
      </c>
      <c r="B4" s="7" t="s">
        <v>114</v>
      </c>
      <c r="C4" s="67">
        <f t="shared" si="1"/>
        <v>12</v>
      </c>
      <c r="D4" s="17">
        <f t="shared" si="2"/>
        <v>0.3076923077</v>
      </c>
      <c r="E4" s="67">
        <v>1.623438292E9</v>
      </c>
      <c r="F4" s="68">
        <f>IFERROR(__xludf.DUMMYFUNCTION("INDEX(SPLIT(E4, char(10)), 0, 1)/86400+date(1970,1,1)"),44358.7950462963)</f>
        <v>44358.79505</v>
      </c>
      <c r="G4" s="7" t="s">
        <v>476</v>
      </c>
      <c r="H4" s="69" t="s">
        <v>477</v>
      </c>
      <c r="I4" s="7" t="s">
        <v>12</v>
      </c>
    </row>
    <row r="5">
      <c r="A5" s="7" t="s">
        <v>13</v>
      </c>
      <c r="B5" s="7" t="s">
        <v>117</v>
      </c>
      <c r="C5" s="67">
        <f t="shared" si="1"/>
        <v>6</v>
      </c>
      <c r="D5" s="17">
        <f t="shared" si="2"/>
        <v>0.1538461538</v>
      </c>
      <c r="E5" s="67">
        <v>1.623438655E9</v>
      </c>
      <c r="F5" s="68">
        <f>IFERROR(__xludf.DUMMYFUNCTION("INDEX(SPLIT(E5, char(10)), 0, 1)/86400+date(1970,1,1)"),44358.79924768519)</f>
        <v>44358.79925</v>
      </c>
      <c r="G5" s="7" t="s">
        <v>478</v>
      </c>
      <c r="H5" s="69" t="s">
        <v>479</v>
      </c>
      <c r="I5" s="7" t="s">
        <v>12</v>
      </c>
    </row>
    <row r="6">
      <c r="A6" s="7" t="s">
        <v>14</v>
      </c>
      <c r="B6" s="7" t="s">
        <v>120</v>
      </c>
      <c r="C6" s="67">
        <f t="shared" si="1"/>
        <v>14</v>
      </c>
      <c r="D6" s="17">
        <f t="shared" si="2"/>
        <v>0.358974359</v>
      </c>
      <c r="E6" s="67">
        <v>1.62343894E9</v>
      </c>
      <c r="F6" s="68">
        <f>IFERROR(__xludf.DUMMYFUNCTION("INDEX(SPLIT(E6, char(10)), 0, 1)/86400+date(1970,1,1)"),44358.8025462963)</f>
        <v>44358.80255</v>
      </c>
      <c r="G6" s="7" t="s">
        <v>480</v>
      </c>
      <c r="H6" s="69" t="s">
        <v>481</v>
      </c>
      <c r="I6" s="7" t="s">
        <v>12</v>
      </c>
    </row>
    <row r="7">
      <c r="A7" s="5"/>
      <c r="B7" s="7" t="s">
        <v>10</v>
      </c>
      <c r="C7" s="23">
        <f t="shared" ref="C7:D7" si="3">SUM(C2:C6)</f>
        <v>39</v>
      </c>
      <c r="D7" s="70">
        <f t="shared" si="3"/>
        <v>1</v>
      </c>
      <c r="E7" s="67">
        <v>1.623439094E9</v>
      </c>
      <c r="F7" s="68">
        <f>IFERROR(__xludf.DUMMYFUNCTION("INDEX(SPLIT(E7, char(10)), 0, 1)/86400+date(1970,1,1)"),44358.8043287037)</f>
        <v>44358.80433</v>
      </c>
      <c r="G7" s="7" t="s">
        <v>482</v>
      </c>
      <c r="H7" s="7" t="s">
        <v>483</v>
      </c>
      <c r="I7" s="7" t="s">
        <v>14</v>
      </c>
    </row>
    <row r="8">
      <c r="A8" s="71"/>
      <c r="B8" s="7" t="s">
        <v>15</v>
      </c>
      <c r="C8" s="67">
        <f t="shared" ref="C8:D8" si="4">SUM(C5:C6)</f>
        <v>20</v>
      </c>
      <c r="D8" s="17">
        <f t="shared" si="4"/>
        <v>0.5128205128</v>
      </c>
      <c r="E8" s="67">
        <v>1.623439209E9</v>
      </c>
      <c r="F8" s="68">
        <f>IFERROR(__xludf.DUMMYFUNCTION("INDEX(SPLIT(E8, char(10)), 0, 1)/86400+date(1970,1,1)"),44358.805659722224)</f>
        <v>44358.80566</v>
      </c>
      <c r="G8" s="7" t="s">
        <v>484</v>
      </c>
      <c r="H8" s="7" t="s">
        <v>485</v>
      </c>
      <c r="I8" s="7" t="s">
        <v>14</v>
      </c>
    </row>
    <row r="9">
      <c r="A9" s="71"/>
      <c r="B9" s="7" t="s">
        <v>127</v>
      </c>
      <c r="C9" s="67">
        <f>SUM(C6:C7)</f>
        <v>53</v>
      </c>
      <c r="D9" s="17">
        <f>SUM(D5:D6) + D2</f>
        <v>0.5641025641</v>
      </c>
      <c r="E9" s="67">
        <v>1.623439335E9</v>
      </c>
      <c r="F9" s="68">
        <f>IFERROR(__xludf.DUMMYFUNCTION("INDEX(SPLIT(E9, char(10)), 0, 1)/86400+date(1970,1,1)"),44358.807118055556)</f>
        <v>44358.80712</v>
      </c>
      <c r="G9" s="7" t="s">
        <v>486</v>
      </c>
      <c r="H9" s="7" t="s">
        <v>487</v>
      </c>
      <c r="I9" s="7" t="s">
        <v>14</v>
      </c>
    </row>
    <row r="10">
      <c r="A10" s="71"/>
      <c r="B10" s="71"/>
      <c r="C10" s="71"/>
      <c r="D10" s="71"/>
      <c r="E10" s="67">
        <v>1.623439691E9</v>
      </c>
      <c r="F10" s="68">
        <f>IFERROR(__xludf.DUMMYFUNCTION("INDEX(SPLIT(E10, char(10)), 0, 1)/86400+date(1970,1,1)"),44358.81123842593)</f>
        <v>44358.81124</v>
      </c>
      <c r="G10" s="7" t="s">
        <v>488</v>
      </c>
      <c r="H10" s="7" t="s">
        <v>489</v>
      </c>
      <c r="I10" s="7" t="s">
        <v>14</v>
      </c>
    </row>
    <row r="11">
      <c r="A11" s="71"/>
      <c r="B11" s="71"/>
      <c r="C11" s="88"/>
      <c r="D11" s="71"/>
      <c r="E11" s="67">
        <v>1.623439894E9</v>
      </c>
      <c r="F11" s="68">
        <f>IFERROR(__xludf.DUMMYFUNCTION("INDEX(SPLIT(E11, char(10)), 0, 1)/86400+date(1970,1,1)"),44358.81358796296)</f>
        <v>44358.81359</v>
      </c>
      <c r="G11" s="7" t="s">
        <v>386</v>
      </c>
      <c r="H11" s="7" t="s">
        <v>490</v>
      </c>
      <c r="I11" s="7" t="s">
        <v>14</v>
      </c>
    </row>
    <row r="12">
      <c r="A12" s="1" t="s">
        <v>134</v>
      </c>
      <c r="B12" s="89" t="s">
        <v>491</v>
      </c>
      <c r="C12" s="88"/>
      <c r="D12" s="71"/>
      <c r="E12" s="67">
        <v>1.623440031E9</v>
      </c>
      <c r="F12" s="68">
        <f>IFERROR(__xludf.DUMMYFUNCTION("INDEX(SPLIT(E12, char(10)), 0, 1)/86400+date(1970,1,1)"),44358.81517361111)</f>
        <v>44358.81517</v>
      </c>
      <c r="G12" s="7" t="s">
        <v>492</v>
      </c>
      <c r="H12" s="7" t="s">
        <v>493</v>
      </c>
      <c r="I12" s="7" t="s">
        <v>14</v>
      </c>
    </row>
    <row r="13">
      <c r="A13" s="1" t="s">
        <v>138</v>
      </c>
      <c r="B13" s="71"/>
      <c r="C13" s="1" t="s">
        <v>101</v>
      </c>
      <c r="D13" s="1" t="s">
        <v>102</v>
      </c>
      <c r="E13" s="67">
        <v>1.623440661E9</v>
      </c>
      <c r="F13" s="68">
        <f>IFERROR(__xludf.DUMMYFUNCTION("INDEX(SPLIT(E13, char(10)), 0, 1)/86400+date(1970,1,1)"),44358.82246527778)</f>
        <v>44358.82247</v>
      </c>
      <c r="G13" s="7" t="s">
        <v>494</v>
      </c>
      <c r="H13" s="7" t="s">
        <v>495</v>
      </c>
      <c r="I13" s="7" t="s">
        <v>14</v>
      </c>
    </row>
    <row r="14">
      <c r="A14" s="7" t="s">
        <v>141</v>
      </c>
      <c r="B14" s="7" t="s">
        <v>142</v>
      </c>
      <c r="C14" s="23">
        <f t="shared" ref="C14:C17" si="5">COUNTIF($A$19:$A1000, A14)</f>
        <v>3</v>
      </c>
      <c r="D14" s="17">
        <f>IFERROR(__xludf.DUMMYFUNCTION("IF(C14, COUNTIF(FILTER($D$19:$D1000, $A$19:$A1000=A14), TRUE)/C14, 0)"),1.0)</f>
        <v>1</v>
      </c>
      <c r="E14" s="67">
        <v>1.623440753E9</v>
      </c>
      <c r="F14" s="68">
        <f>IFERROR(__xludf.DUMMYFUNCTION("INDEX(SPLIT(E14, char(10)), 0, 1)/86400+date(1970,1,1)"),44358.82353009259)</f>
        <v>44358.82353</v>
      </c>
      <c r="G14" s="7" t="s">
        <v>496</v>
      </c>
      <c r="H14" s="7" t="s">
        <v>497</v>
      </c>
      <c r="I14" s="7" t="s">
        <v>14</v>
      </c>
    </row>
    <row r="15">
      <c r="A15" s="7" t="s">
        <v>3</v>
      </c>
      <c r="B15" s="7" t="s">
        <v>145</v>
      </c>
      <c r="C15" s="23">
        <f t="shared" si="5"/>
        <v>2</v>
      </c>
      <c r="D15" s="17">
        <f>IFERROR(__xludf.DUMMYFUNCTION("IF(C15, COUNTIF(FILTER($D$19:$D1000, $A$19:$A1000=A15), TRUE)/C15, 0)"),0.5)</f>
        <v>0.5</v>
      </c>
      <c r="E15" s="67">
        <v>1.623440939E9</v>
      </c>
      <c r="F15" s="68">
        <f>IFERROR(__xludf.DUMMYFUNCTION("INDEX(SPLIT(E15, char(10)), 0, 1)/86400+date(1970,1,1)"),44358.825682870374)</f>
        <v>44358.82568</v>
      </c>
      <c r="G15" s="7" t="s">
        <v>498</v>
      </c>
      <c r="H15" s="69" t="s">
        <v>499</v>
      </c>
      <c r="I15" s="7" t="s">
        <v>12</v>
      </c>
    </row>
    <row r="16">
      <c r="A16" s="7" t="s">
        <v>4</v>
      </c>
      <c r="B16" s="7" t="s">
        <v>148</v>
      </c>
      <c r="C16" s="23">
        <f t="shared" si="5"/>
        <v>4</v>
      </c>
      <c r="D16" s="17">
        <f>IFERROR(__xludf.DUMMYFUNCTION("IF(C16, COUNTIF(FILTER($D$19:$D1000, $A$19:$A1000=A16), TRUE)/C16, 0)"),0.5)</f>
        <v>0.5</v>
      </c>
      <c r="E16" s="67">
        <v>1.623441039E9</v>
      </c>
      <c r="F16" s="68">
        <f>IFERROR(__xludf.DUMMYFUNCTION("INDEX(SPLIT(E16, char(10)), 0, 1)/86400+date(1970,1,1)"),44358.826840277776)</f>
        <v>44358.82684</v>
      </c>
      <c r="G16" s="7" t="s">
        <v>500</v>
      </c>
      <c r="H16" s="69" t="s">
        <v>501</v>
      </c>
      <c r="I16" s="7" t="s">
        <v>11</v>
      </c>
    </row>
    <row r="17">
      <c r="A17" s="7" t="s">
        <v>5</v>
      </c>
      <c r="B17" s="7" t="s">
        <v>151</v>
      </c>
      <c r="C17" s="23">
        <f t="shared" si="5"/>
        <v>9</v>
      </c>
      <c r="D17" s="17">
        <f>IFERROR(__xludf.DUMMYFUNCTION("IF(C17, COUNTIF(FILTER($D$19:$D1000, $A$19:$A1000=A17), TRUE)/C17, 0)"),0.4444444444444444)</f>
        <v>0.4444444444</v>
      </c>
      <c r="E17" s="67">
        <v>1.623441179E9</v>
      </c>
      <c r="F17" s="68">
        <f>IFERROR(__xludf.DUMMYFUNCTION("INDEX(SPLIT(E17, char(10)), 0, 1)/86400+date(1970,1,1)"),44358.82846064815)</f>
        <v>44358.82846</v>
      </c>
      <c r="G17" s="7" t="s">
        <v>502</v>
      </c>
      <c r="H17" s="69" t="s">
        <v>503</v>
      </c>
      <c r="I17" s="7" t="s">
        <v>12</v>
      </c>
    </row>
    <row r="18">
      <c r="A18" s="71"/>
      <c r="B18" s="1" t="s">
        <v>6</v>
      </c>
      <c r="C18" s="23">
        <f>SUM(C14:C17)</f>
        <v>18</v>
      </c>
      <c r="D18" s="17">
        <f>COUNTIF($D$19:$D1000, TRUE)/SUM($C$14:$C$17)</f>
        <v>0.5555555556</v>
      </c>
      <c r="E18" s="67">
        <v>1.623441345E9</v>
      </c>
      <c r="F18" s="68">
        <f>IFERROR(__xludf.DUMMYFUNCTION("INDEX(SPLIT(E18, char(10)), 0, 1)/86400+date(1970,1,1)"),44358.83038194444)</f>
        <v>44358.83038</v>
      </c>
      <c r="G18" s="7" t="s">
        <v>504</v>
      </c>
      <c r="H18" s="69" t="s">
        <v>505</v>
      </c>
      <c r="I18" s="7" t="s">
        <v>12</v>
      </c>
    </row>
    <row r="19">
      <c r="A19" s="7" t="s">
        <v>4</v>
      </c>
      <c r="B19" s="7" t="s">
        <v>161</v>
      </c>
      <c r="C19" s="67">
        <v>1.0</v>
      </c>
      <c r="D19" s="74" t="b">
        <v>0</v>
      </c>
      <c r="E19" s="67">
        <v>1.623441623E9</v>
      </c>
      <c r="F19" s="68">
        <f>IFERROR(__xludf.DUMMYFUNCTION("INDEX(SPLIT(E19, char(10)), 0, 1)/86400+date(1970,1,1)"),44358.833599537036)</f>
        <v>44358.8336</v>
      </c>
      <c r="G19" s="7" t="s">
        <v>480</v>
      </c>
      <c r="H19" s="69" t="s">
        <v>506</v>
      </c>
      <c r="I19" s="7" t="s">
        <v>11</v>
      </c>
    </row>
    <row r="20">
      <c r="A20" s="7" t="s">
        <v>4</v>
      </c>
      <c r="B20" s="7" t="s">
        <v>167</v>
      </c>
      <c r="C20" s="67">
        <v>45.0</v>
      </c>
      <c r="D20" s="74" t="b">
        <v>0</v>
      </c>
      <c r="E20" s="67">
        <v>1.623441741E9</v>
      </c>
      <c r="F20" s="68">
        <f>IFERROR(__xludf.DUMMYFUNCTION("INDEX(SPLIT(E20, char(10)), 0, 1)/86400+date(1970,1,1)"),44358.834965277776)</f>
        <v>44358.83497</v>
      </c>
      <c r="G20" s="7" t="s">
        <v>507</v>
      </c>
      <c r="H20" s="73" t="s">
        <v>508</v>
      </c>
      <c r="I20" s="7" t="s">
        <v>13</v>
      </c>
    </row>
    <row r="21">
      <c r="A21" s="7" t="s">
        <v>4</v>
      </c>
      <c r="B21" s="7" t="s">
        <v>170</v>
      </c>
      <c r="C21" s="67">
        <v>45.0</v>
      </c>
      <c r="D21" s="74" t="b">
        <v>1</v>
      </c>
      <c r="E21" s="67">
        <v>1.623441893E9</v>
      </c>
      <c r="F21" s="68">
        <f>IFERROR(__xludf.DUMMYFUNCTION("INDEX(SPLIT(E21, char(10)), 0, 1)/86400+date(1970,1,1)"),44358.83672453703)</f>
        <v>44358.83672</v>
      </c>
      <c r="G21" s="7" t="s">
        <v>386</v>
      </c>
      <c r="H21" s="7" t="s">
        <v>509</v>
      </c>
      <c r="I21" s="7" t="s">
        <v>14</v>
      </c>
    </row>
    <row r="22">
      <c r="A22" s="7" t="s">
        <v>5</v>
      </c>
      <c r="B22" s="7" t="s">
        <v>510</v>
      </c>
      <c r="C22" s="67">
        <v>46.0</v>
      </c>
      <c r="D22" s="74" t="b">
        <v>1</v>
      </c>
      <c r="E22" s="67">
        <v>1.623442217E9</v>
      </c>
      <c r="F22" s="68">
        <f>IFERROR(__xludf.DUMMYFUNCTION("INDEX(SPLIT(E22, char(10)), 0, 1)/86400+date(1970,1,1)"),44358.840474537035)</f>
        <v>44358.84047</v>
      </c>
      <c r="G22" s="7" t="s">
        <v>511</v>
      </c>
      <c r="H22" s="69" t="s">
        <v>512</v>
      </c>
      <c r="I22" s="7" t="s">
        <v>11</v>
      </c>
    </row>
    <row r="23">
      <c r="A23" s="7" t="s">
        <v>5</v>
      </c>
      <c r="B23" s="7" t="s">
        <v>513</v>
      </c>
      <c r="C23" s="67">
        <v>46.0</v>
      </c>
      <c r="D23" s="74" t="b">
        <v>1</v>
      </c>
      <c r="E23" s="67">
        <v>1.623442326E9</v>
      </c>
      <c r="F23" s="68">
        <f>IFERROR(__xludf.DUMMYFUNCTION("INDEX(SPLIT(E23, char(10)), 0, 1)/86400+date(1970,1,1)"),44358.841736111106)</f>
        <v>44358.84174</v>
      </c>
      <c r="G23" s="7" t="s">
        <v>514</v>
      </c>
      <c r="H23" s="73" t="s">
        <v>515</v>
      </c>
      <c r="I23" s="7" t="s">
        <v>13</v>
      </c>
    </row>
    <row r="24">
      <c r="A24" s="7" t="s">
        <v>141</v>
      </c>
      <c r="B24" s="7" t="s">
        <v>516</v>
      </c>
      <c r="C24" s="67">
        <v>53.0</v>
      </c>
      <c r="D24" s="74" t="b">
        <v>1</v>
      </c>
      <c r="E24" s="67">
        <v>1.623442471E9</v>
      </c>
      <c r="F24" s="68">
        <f>IFERROR(__xludf.DUMMYFUNCTION("INDEX(SPLIT(E24, char(10)), 0, 1)/86400+date(1970,1,1)"),44358.84341435185)</f>
        <v>44358.84341</v>
      </c>
      <c r="G24" s="7" t="s">
        <v>517</v>
      </c>
      <c r="H24" s="69" t="s">
        <v>518</v>
      </c>
      <c r="I24" s="7" t="s">
        <v>12</v>
      </c>
    </row>
    <row r="25">
      <c r="A25" s="7" t="s">
        <v>5</v>
      </c>
      <c r="B25" s="71" t="s">
        <v>519</v>
      </c>
      <c r="C25" s="67">
        <v>64.0</v>
      </c>
      <c r="D25" s="74" t="b">
        <v>0</v>
      </c>
      <c r="E25" s="67">
        <v>1.623442585E9</v>
      </c>
      <c r="F25" s="68">
        <f>IFERROR(__xludf.DUMMYFUNCTION("INDEX(SPLIT(E25, char(10)), 0, 1)/86400+date(1970,1,1)"),44358.8447337963)</f>
        <v>44358.84473</v>
      </c>
      <c r="G25" s="7" t="s">
        <v>520</v>
      </c>
      <c r="H25" s="69" t="s">
        <v>521</v>
      </c>
      <c r="I25" s="7" t="s">
        <v>12</v>
      </c>
    </row>
    <row r="26">
      <c r="A26" s="7" t="s">
        <v>5</v>
      </c>
      <c r="B26" s="71" t="s">
        <v>522</v>
      </c>
      <c r="C26" s="67">
        <v>65.0</v>
      </c>
      <c r="D26" s="74" t="b">
        <v>0</v>
      </c>
      <c r="E26" s="67">
        <v>1.623442758E9</v>
      </c>
      <c r="F26" s="68">
        <f>IFERROR(__xludf.DUMMYFUNCTION("INDEX(SPLIT(E26, char(10)), 0, 1)/86400+date(1970,1,1)"),44358.84673611111)</f>
        <v>44358.84674</v>
      </c>
      <c r="G26" s="7" t="s">
        <v>523</v>
      </c>
      <c r="H26" s="69" t="s">
        <v>524</v>
      </c>
      <c r="I26" s="7" t="s">
        <v>12</v>
      </c>
    </row>
    <row r="27">
      <c r="A27" s="7" t="s">
        <v>141</v>
      </c>
      <c r="B27" s="71" t="s">
        <v>525</v>
      </c>
      <c r="C27" s="67">
        <v>66.0</v>
      </c>
      <c r="D27" s="74" t="b">
        <v>1</v>
      </c>
      <c r="E27" s="67">
        <v>1.623443036E9</v>
      </c>
      <c r="F27" s="68">
        <f>IFERROR(__xludf.DUMMYFUNCTION("INDEX(SPLIT(E27, char(10)), 0, 1)/86400+date(1970,1,1)"),44358.8499537037)</f>
        <v>44358.84995</v>
      </c>
      <c r="G27" s="7" t="s">
        <v>526</v>
      </c>
      <c r="H27" s="73" t="s">
        <v>527</v>
      </c>
      <c r="I27" s="7" t="s">
        <v>13</v>
      </c>
    </row>
    <row r="28">
      <c r="A28" s="7" t="s">
        <v>5</v>
      </c>
      <c r="B28" s="71" t="s">
        <v>528</v>
      </c>
      <c r="C28" s="67">
        <v>74.0</v>
      </c>
      <c r="D28" s="74" t="b">
        <v>0</v>
      </c>
      <c r="E28" s="67">
        <v>1.62344313E9</v>
      </c>
      <c r="F28" s="68">
        <f>IFERROR(__xludf.DUMMYFUNCTION("INDEX(SPLIT(E28, char(10)), 0, 1)/86400+date(1970,1,1)"),44358.85104166667)</f>
        <v>44358.85104</v>
      </c>
      <c r="G28" s="7" t="s">
        <v>529</v>
      </c>
      <c r="H28" s="69" t="s">
        <v>530</v>
      </c>
      <c r="I28" s="7" t="s">
        <v>12</v>
      </c>
    </row>
    <row r="29">
      <c r="A29" s="7" t="s">
        <v>5</v>
      </c>
      <c r="B29" s="71" t="s">
        <v>531</v>
      </c>
      <c r="C29" s="67">
        <v>76.0</v>
      </c>
      <c r="D29" s="74" t="b">
        <v>0</v>
      </c>
      <c r="E29" s="67">
        <v>1.623443248E9</v>
      </c>
      <c r="F29" s="68">
        <f>IFERROR(__xludf.DUMMYFUNCTION("INDEX(SPLIT(E29, char(10)), 0, 1)/86400+date(1970,1,1)"),44358.85240740741)</f>
        <v>44358.85241</v>
      </c>
      <c r="G29" s="7" t="s">
        <v>532</v>
      </c>
      <c r="H29" s="7" t="s">
        <v>533</v>
      </c>
      <c r="I29" s="7" t="s">
        <v>14</v>
      </c>
    </row>
    <row r="30">
      <c r="A30" s="7" t="s">
        <v>141</v>
      </c>
      <c r="B30" s="71" t="s">
        <v>534</v>
      </c>
      <c r="C30" s="67">
        <v>79.0</v>
      </c>
      <c r="D30" s="74" t="b">
        <v>1</v>
      </c>
      <c r="E30" s="67">
        <v>1.623443503E9</v>
      </c>
      <c r="F30" s="68">
        <f>IFERROR(__xludf.DUMMYFUNCTION("INDEX(SPLIT(E30, char(10)), 0, 1)/86400+date(1970,1,1)"),44358.855358796296)</f>
        <v>44358.85536</v>
      </c>
      <c r="G30" s="7" t="s">
        <v>535</v>
      </c>
      <c r="H30" s="7" t="s">
        <v>536</v>
      </c>
      <c r="I30" s="7" t="s">
        <v>14</v>
      </c>
    </row>
    <row r="31">
      <c r="A31" s="7" t="s">
        <v>5</v>
      </c>
      <c r="B31" s="71" t="s">
        <v>537</v>
      </c>
      <c r="C31" s="67">
        <v>81.0</v>
      </c>
      <c r="D31" s="74" t="b">
        <v>1</v>
      </c>
      <c r="E31" s="67">
        <v>1.623443654E9</v>
      </c>
      <c r="F31" s="68">
        <f>IFERROR(__xludf.DUMMYFUNCTION("INDEX(SPLIT(E31, char(10)), 0, 1)/86400+date(1970,1,1)"),44358.85710648148)</f>
        <v>44358.85711</v>
      </c>
      <c r="G31" s="7" t="s">
        <v>538</v>
      </c>
      <c r="H31" s="69" t="s">
        <v>539</v>
      </c>
      <c r="I31" s="7" t="s">
        <v>12</v>
      </c>
    </row>
    <row r="32">
      <c r="A32" s="7" t="s">
        <v>5</v>
      </c>
      <c r="B32" s="71" t="s">
        <v>540</v>
      </c>
      <c r="C32" s="67">
        <v>81.0</v>
      </c>
      <c r="D32" s="74" t="b">
        <v>1</v>
      </c>
      <c r="E32" s="67">
        <v>1.623443807E9</v>
      </c>
      <c r="F32" s="68">
        <f>IFERROR(__xludf.DUMMYFUNCTION("INDEX(SPLIT(E32, char(10)), 0, 1)/86400+date(1970,1,1)"),44358.858877314815)</f>
        <v>44358.85888</v>
      </c>
      <c r="G32" s="7" t="s">
        <v>541</v>
      </c>
      <c r="H32" s="73" t="s">
        <v>542</v>
      </c>
      <c r="I32" s="7" t="s">
        <v>13</v>
      </c>
    </row>
    <row r="33">
      <c r="A33" s="7" t="s">
        <v>5</v>
      </c>
      <c r="B33" s="71" t="s">
        <v>543</v>
      </c>
      <c r="C33" s="67">
        <v>85.0</v>
      </c>
      <c r="D33" s="74" t="b">
        <v>0</v>
      </c>
      <c r="E33" s="67">
        <v>1.623443897E9</v>
      </c>
      <c r="F33" s="68">
        <f>IFERROR(__xludf.DUMMYFUNCTION("INDEX(SPLIT(E33, char(10)), 0, 1)/86400+date(1970,1,1)"),44358.859918981485)</f>
        <v>44358.85992</v>
      </c>
      <c r="G33" s="7" t="s">
        <v>544</v>
      </c>
      <c r="H33" s="7" t="s">
        <v>545</v>
      </c>
      <c r="I33" s="7" t="s">
        <v>14</v>
      </c>
    </row>
    <row r="34">
      <c r="A34" s="7" t="s">
        <v>3</v>
      </c>
      <c r="B34" s="71" t="s">
        <v>546</v>
      </c>
      <c r="C34" s="67">
        <v>88.0</v>
      </c>
      <c r="D34" s="74" t="b">
        <v>1</v>
      </c>
      <c r="E34" s="67">
        <v>1.623443988E9</v>
      </c>
      <c r="F34" s="68">
        <f>IFERROR(__xludf.DUMMYFUNCTION("INDEX(SPLIT(E34, char(10)), 0, 1)/86400+date(1970,1,1)"),44358.86097222222)</f>
        <v>44358.86097</v>
      </c>
      <c r="G34" s="7" t="s">
        <v>547</v>
      </c>
      <c r="H34" s="69" t="s">
        <v>548</v>
      </c>
      <c r="I34" s="7" t="s">
        <v>93</v>
      </c>
    </row>
    <row r="35">
      <c r="A35" s="7" t="s">
        <v>3</v>
      </c>
      <c r="B35" s="71" t="s">
        <v>549</v>
      </c>
      <c r="C35" s="67">
        <v>90.0</v>
      </c>
      <c r="D35" s="74" t="b">
        <v>0</v>
      </c>
      <c r="E35" s="67">
        <v>1.623444098E9</v>
      </c>
      <c r="F35" s="68">
        <f>IFERROR(__xludf.DUMMYFUNCTION("INDEX(SPLIT(E35, char(10)), 0, 1)/86400+date(1970,1,1)"),44358.86224537037)</f>
        <v>44358.86225</v>
      </c>
      <c r="G35" s="7" t="s">
        <v>550</v>
      </c>
      <c r="H35" s="69" t="s">
        <v>551</v>
      </c>
      <c r="I35" s="7" t="s">
        <v>11</v>
      </c>
    </row>
    <row r="36">
      <c r="A36" s="7" t="s">
        <v>4</v>
      </c>
      <c r="B36" s="71" t="s">
        <v>195</v>
      </c>
      <c r="C36" s="67">
        <v>90.0</v>
      </c>
      <c r="D36" s="74" t="b">
        <v>1</v>
      </c>
      <c r="E36" s="67">
        <v>1.623444195E9</v>
      </c>
      <c r="F36" s="68">
        <f>IFERROR(__xludf.DUMMYFUNCTION("INDEX(SPLIT(E36, char(10)), 0, 1)/86400+date(1970,1,1)"),44358.86336805555)</f>
        <v>44358.86337</v>
      </c>
      <c r="G36" s="7" t="s">
        <v>552</v>
      </c>
      <c r="H36" s="69" t="s">
        <v>553</v>
      </c>
      <c r="I36" s="7" t="s">
        <v>11</v>
      </c>
    </row>
    <row r="37">
      <c r="A37" s="5"/>
      <c r="B37" s="71"/>
      <c r="C37" s="25"/>
      <c r="D37" s="5"/>
      <c r="E37" s="67">
        <v>1.62344434E9</v>
      </c>
      <c r="F37" s="68">
        <f>IFERROR(__xludf.DUMMYFUNCTION("INDEX(SPLIT(E37, char(10)), 0, 1)/86400+date(1970,1,1)"),44358.8650462963)</f>
        <v>44358.86505</v>
      </c>
      <c r="G37" s="7" t="s">
        <v>554</v>
      </c>
      <c r="H37" s="73" t="s">
        <v>555</v>
      </c>
      <c r="I37" s="7" t="s">
        <v>13</v>
      </c>
    </row>
    <row r="38">
      <c r="A38" s="5"/>
      <c r="B38" s="71"/>
      <c r="C38" s="25"/>
      <c r="D38" s="5"/>
      <c r="E38" s="75">
        <v>1.623444517E9</v>
      </c>
      <c r="F38" s="68">
        <f>IFERROR(__xludf.DUMMYFUNCTION("INDEX(SPLIT(E38, char(10)), 0, 1)/86400+date(1970,1,1)"),44358.86709490741)</f>
        <v>44358.86709</v>
      </c>
      <c r="G38" s="5" t="s">
        <v>556</v>
      </c>
      <c r="H38" s="90" t="s">
        <v>557</v>
      </c>
      <c r="I38" s="5" t="s">
        <v>93</v>
      </c>
    </row>
    <row r="39">
      <c r="A39" s="5"/>
      <c r="B39" s="71"/>
      <c r="C39" s="25"/>
      <c r="D39" s="5"/>
      <c r="E39" s="75">
        <v>1.623444619E9</v>
      </c>
      <c r="F39" s="68">
        <f>IFERROR(__xludf.DUMMYFUNCTION("INDEX(SPLIT(E39, char(10)), 0, 1)/86400+date(1970,1,1)"),44358.86827546296)</f>
        <v>44358.86828</v>
      </c>
      <c r="G39" s="5" t="s">
        <v>558</v>
      </c>
      <c r="H39" s="5" t="s">
        <v>559</v>
      </c>
      <c r="I39" s="5" t="s">
        <v>14</v>
      </c>
    </row>
    <row r="40">
      <c r="A40" s="5"/>
      <c r="B40" s="71"/>
      <c r="C40" s="25"/>
      <c r="D40" s="5"/>
      <c r="E40" s="75">
        <v>1.623444726E9</v>
      </c>
      <c r="F40" s="68">
        <f>IFERROR(__xludf.DUMMYFUNCTION("INDEX(SPLIT(E40, char(10)), 0, 1)/86400+date(1970,1,1)"),44358.86951388889)</f>
        <v>44358.86951</v>
      </c>
      <c r="G40" s="5" t="s">
        <v>560</v>
      </c>
      <c r="H40" s="91" t="s">
        <v>561</v>
      </c>
      <c r="I40" s="5" t="s">
        <v>13</v>
      </c>
    </row>
    <row r="41">
      <c r="A41" s="5"/>
      <c r="B41" s="71"/>
      <c r="C41" s="25"/>
      <c r="D41" s="5"/>
      <c r="E41" s="75"/>
      <c r="F41" s="68"/>
      <c r="G41" s="5"/>
      <c r="H41" s="5"/>
      <c r="I41" s="5"/>
    </row>
    <row r="42">
      <c r="A42" s="5"/>
      <c r="B42" s="71"/>
      <c r="C42" s="25"/>
      <c r="D42" s="5"/>
      <c r="E42" s="75"/>
      <c r="F42" s="68"/>
      <c r="G42" s="5"/>
      <c r="H42" s="5"/>
      <c r="I42" s="5"/>
    </row>
    <row r="43">
      <c r="A43" s="5"/>
      <c r="B43" s="5"/>
      <c r="C43" s="5"/>
      <c r="D43" s="5"/>
      <c r="E43" s="25"/>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93</v>
      </c>
      <c r="B2" s="7" t="s">
        <v>108</v>
      </c>
      <c r="C2" s="67">
        <f t="shared" ref="C2:C6" si="1">COUNTIF(I:I,A2)</f>
        <v>0</v>
      </c>
      <c r="D2" s="17">
        <f t="shared" ref="D2:D6" si="2">C2/COUNTA(I$2:I1000)</f>
        <v>0</v>
      </c>
      <c r="E2" s="77">
        <v>1.623440869E9</v>
      </c>
      <c r="F2" s="68">
        <f>IFERROR(__xludf.DUMMYFUNCTION("INDEX(SPLIT(E2, char(10)), 0, 1)/86400+date(1970,1,1)"),44358.82487268519)</f>
        <v>44358.82487</v>
      </c>
      <c r="G2" s="46" t="s">
        <v>562</v>
      </c>
      <c r="H2" s="46" t="s">
        <v>563</v>
      </c>
      <c r="I2" s="46" t="s">
        <v>13</v>
      </c>
    </row>
    <row r="3">
      <c r="A3" s="7" t="s">
        <v>11</v>
      </c>
      <c r="B3" s="7" t="s">
        <v>111</v>
      </c>
      <c r="C3" s="67">
        <f t="shared" si="1"/>
        <v>0</v>
      </c>
      <c r="D3" s="17">
        <f t="shared" si="2"/>
        <v>0</v>
      </c>
      <c r="E3" s="77">
        <v>1.623442244E9</v>
      </c>
      <c r="F3" s="68">
        <f>IFERROR(__xludf.DUMMYFUNCTION("INDEX(SPLIT(E3, char(10)), 0, 1)/86400+date(1970,1,1)"),44358.840787037036)</f>
        <v>44358.84079</v>
      </c>
      <c r="G3" s="46" t="s">
        <v>564</v>
      </c>
      <c r="H3" s="46" t="s">
        <v>565</v>
      </c>
      <c r="I3" s="46" t="s">
        <v>13</v>
      </c>
    </row>
    <row r="4">
      <c r="A4" s="7" t="s">
        <v>12</v>
      </c>
      <c r="B4" s="7" t="s">
        <v>114</v>
      </c>
      <c r="C4" s="67">
        <f t="shared" si="1"/>
        <v>0</v>
      </c>
      <c r="D4" s="17">
        <f t="shared" si="2"/>
        <v>0</v>
      </c>
      <c r="E4" s="77">
        <v>1.623443117E9</v>
      </c>
      <c r="F4" s="68">
        <f>IFERROR(__xludf.DUMMYFUNCTION("INDEX(SPLIT(E4, char(10)), 0, 1)/86400+date(1970,1,1)"),44358.85089120371)</f>
        <v>44358.85089</v>
      </c>
      <c r="G4" s="46" t="s">
        <v>566</v>
      </c>
      <c r="H4" s="46" t="s">
        <v>567</v>
      </c>
      <c r="I4" s="46" t="s">
        <v>13</v>
      </c>
    </row>
    <row r="5">
      <c r="A5" s="7" t="s">
        <v>13</v>
      </c>
      <c r="B5" s="7" t="s">
        <v>117</v>
      </c>
      <c r="C5" s="67">
        <f t="shared" si="1"/>
        <v>4</v>
      </c>
      <c r="D5" s="17">
        <f t="shared" si="2"/>
        <v>1</v>
      </c>
      <c r="E5" s="77">
        <v>1.623443899E9</v>
      </c>
      <c r="F5" s="68">
        <f>IFERROR(__xludf.DUMMYFUNCTION("INDEX(SPLIT(E5, char(10)), 0, 1)/86400+date(1970,1,1)"),44358.85994212963)</f>
        <v>44358.85994</v>
      </c>
      <c r="G5" s="46" t="s">
        <v>568</v>
      </c>
      <c r="H5" s="46" t="s">
        <v>569</v>
      </c>
      <c r="I5" s="46" t="s">
        <v>13</v>
      </c>
    </row>
    <row r="6">
      <c r="A6" s="7" t="s">
        <v>14</v>
      </c>
      <c r="B6" s="7" t="s">
        <v>120</v>
      </c>
      <c r="C6" s="67">
        <f t="shared" si="1"/>
        <v>0</v>
      </c>
      <c r="D6" s="17">
        <f t="shared" si="2"/>
        <v>0</v>
      </c>
      <c r="E6" s="67"/>
      <c r="F6" s="68"/>
      <c r="G6" s="7"/>
      <c r="H6" s="46"/>
      <c r="I6" s="7"/>
    </row>
    <row r="7">
      <c r="A7" s="5"/>
      <c r="B7" s="7" t="s">
        <v>10</v>
      </c>
      <c r="C7" s="23">
        <f t="shared" ref="C7:D7" si="3">SUM(C2:C6)</f>
        <v>4</v>
      </c>
      <c r="D7" s="70">
        <f t="shared" si="3"/>
        <v>1</v>
      </c>
      <c r="E7" s="67"/>
      <c r="F7" s="68"/>
      <c r="G7" s="7"/>
      <c r="H7" s="46"/>
      <c r="I7" s="7"/>
    </row>
    <row r="8">
      <c r="A8" s="71"/>
      <c r="B8" s="7" t="s">
        <v>15</v>
      </c>
      <c r="C8" s="67">
        <f t="shared" ref="C8:D8" si="4">SUM(C5:C6)</f>
        <v>4</v>
      </c>
      <c r="D8" s="17">
        <f t="shared" si="4"/>
        <v>1</v>
      </c>
      <c r="E8" s="67"/>
      <c r="F8" s="68"/>
      <c r="G8" s="7"/>
      <c r="H8" s="46"/>
      <c r="I8" s="7"/>
    </row>
    <row r="9">
      <c r="A9" s="71"/>
      <c r="B9" s="7" t="s">
        <v>127</v>
      </c>
      <c r="C9" s="67">
        <f>SUM(C6:C7)</f>
        <v>4</v>
      </c>
      <c r="D9" s="17">
        <f>SUM(D5:D6) + D2</f>
        <v>1</v>
      </c>
      <c r="E9" s="67"/>
      <c r="F9" s="68"/>
      <c r="G9" s="7"/>
      <c r="H9" s="46"/>
      <c r="I9" s="7"/>
    </row>
    <row r="10">
      <c r="A10" s="71"/>
      <c r="B10" s="71"/>
      <c r="C10" s="71"/>
      <c r="D10" s="71"/>
      <c r="E10" s="67"/>
      <c r="F10" s="68"/>
      <c r="G10" s="7"/>
      <c r="H10" s="46"/>
      <c r="I10" s="7"/>
    </row>
    <row r="11">
      <c r="A11" s="71"/>
      <c r="B11" s="71"/>
      <c r="C11" s="88"/>
      <c r="D11" s="71"/>
      <c r="E11" s="67"/>
      <c r="F11" s="68"/>
      <c r="G11" s="7"/>
      <c r="H11" s="46"/>
      <c r="I11" s="7"/>
    </row>
    <row r="12">
      <c r="A12" s="1" t="s">
        <v>134</v>
      </c>
      <c r="B12" s="89" t="s">
        <v>570</v>
      </c>
      <c r="C12" s="88"/>
      <c r="D12" s="71"/>
      <c r="E12" s="67"/>
      <c r="F12" s="68"/>
      <c r="G12" s="7"/>
      <c r="H12" s="46"/>
      <c r="I12" s="7"/>
    </row>
    <row r="13">
      <c r="A13" s="1" t="s">
        <v>138</v>
      </c>
      <c r="B13" s="71"/>
      <c r="C13" s="1" t="s">
        <v>101</v>
      </c>
      <c r="D13" s="1" t="s">
        <v>102</v>
      </c>
      <c r="E13" s="67"/>
      <c r="F13" s="68"/>
      <c r="G13" s="7"/>
      <c r="H13" s="46"/>
      <c r="I13" s="7"/>
    </row>
    <row r="14">
      <c r="A14" s="7" t="s">
        <v>141</v>
      </c>
      <c r="B14" s="7" t="s">
        <v>142</v>
      </c>
      <c r="C14" s="23">
        <f t="shared" ref="C14:C17" si="5">COUNTIF($A$19:$A1000, A14)</f>
        <v>3</v>
      </c>
      <c r="D14" s="17">
        <f>IFERROR(__xludf.DUMMYFUNCTION("IF(C14, COUNTIF(FILTER($D$19:$D1000, $A$19:$A1000=A14), TRUE)/C14, 0)"),1.0)</f>
        <v>1</v>
      </c>
      <c r="E14" s="67"/>
      <c r="F14" s="68"/>
      <c r="G14" s="7"/>
      <c r="H14" s="46"/>
      <c r="I14" s="7"/>
    </row>
    <row r="15">
      <c r="A15" s="7" t="s">
        <v>3</v>
      </c>
      <c r="B15" s="7" t="s">
        <v>145</v>
      </c>
      <c r="C15" s="23">
        <f t="shared" si="5"/>
        <v>2</v>
      </c>
      <c r="D15" s="17">
        <f>IFERROR(__xludf.DUMMYFUNCTION("IF(C15, COUNTIF(FILTER($D$19:$D1000, $A$19:$A1000=A15), TRUE)/C15, 0)"),0.0)</f>
        <v>0</v>
      </c>
      <c r="E15" s="67"/>
      <c r="F15" s="68"/>
      <c r="G15" s="7"/>
      <c r="H15" s="46"/>
      <c r="I15" s="7"/>
    </row>
    <row r="16">
      <c r="A16" s="7" t="s">
        <v>4</v>
      </c>
      <c r="B16" s="7" t="s">
        <v>148</v>
      </c>
      <c r="C16" s="23">
        <f t="shared" si="5"/>
        <v>4</v>
      </c>
      <c r="D16" s="17">
        <f>IFERROR(__xludf.DUMMYFUNCTION("IF(C16, COUNTIF(FILTER($D$19:$D1000, $A$19:$A1000=A16), TRUE)/C16, 0)"),0.25)</f>
        <v>0.25</v>
      </c>
      <c r="E16" s="67"/>
      <c r="F16" s="68"/>
      <c r="G16" s="7"/>
      <c r="H16" s="46"/>
      <c r="I16" s="7"/>
    </row>
    <row r="17">
      <c r="A17" s="7" t="s">
        <v>5</v>
      </c>
      <c r="B17" s="7" t="s">
        <v>151</v>
      </c>
      <c r="C17" s="23">
        <f t="shared" si="5"/>
        <v>9</v>
      </c>
      <c r="D17" s="17">
        <f>IFERROR(__xludf.DUMMYFUNCTION("IF(C17, COUNTIF(FILTER($D$19:$D1000, $A$19:$A1000=A17), TRUE)/C17, 0)"),0.1111111111111111)</f>
        <v>0.1111111111</v>
      </c>
      <c r="E17" s="67"/>
      <c r="F17" s="68"/>
      <c r="G17" s="7"/>
      <c r="H17" s="46"/>
      <c r="I17" s="7"/>
    </row>
    <row r="18">
      <c r="A18" s="71"/>
      <c r="B18" s="1" t="s">
        <v>6</v>
      </c>
      <c r="C18" s="23">
        <f>SUM(C14:C17)</f>
        <v>18</v>
      </c>
      <c r="D18" s="17">
        <f>COUNTIF($D$19:$D1000, TRUE)/SUM($C$14:$C$17)</f>
        <v>0.2777777778</v>
      </c>
      <c r="E18" s="67"/>
      <c r="F18" s="68"/>
      <c r="G18" s="7"/>
      <c r="H18" s="46"/>
      <c r="I18" s="7"/>
    </row>
    <row r="19">
      <c r="A19" s="7" t="s">
        <v>4</v>
      </c>
      <c r="B19" s="7" t="s">
        <v>161</v>
      </c>
      <c r="C19" s="67">
        <v>1.0</v>
      </c>
      <c r="D19" s="74" t="b">
        <v>0</v>
      </c>
      <c r="E19" s="67"/>
      <c r="F19" s="68"/>
      <c r="G19" s="7"/>
      <c r="H19" s="46"/>
      <c r="I19" s="7"/>
    </row>
    <row r="20">
      <c r="A20" s="7" t="s">
        <v>4</v>
      </c>
      <c r="B20" s="7" t="s">
        <v>167</v>
      </c>
      <c r="C20" s="67">
        <v>45.0</v>
      </c>
      <c r="D20" s="79" t="b">
        <v>1</v>
      </c>
      <c r="E20" s="67"/>
      <c r="F20" s="68"/>
      <c r="G20" s="7"/>
      <c r="H20" s="46"/>
      <c r="I20" s="7"/>
    </row>
    <row r="21">
      <c r="A21" s="7" t="s">
        <v>4</v>
      </c>
      <c r="B21" s="7" t="s">
        <v>170</v>
      </c>
      <c r="C21" s="67">
        <v>45.0</v>
      </c>
      <c r="D21" s="79" t="b">
        <v>0</v>
      </c>
      <c r="E21" s="67"/>
      <c r="F21" s="68"/>
      <c r="G21" s="7"/>
      <c r="H21" s="46"/>
      <c r="I21" s="7"/>
    </row>
    <row r="22">
      <c r="A22" s="7" t="s">
        <v>5</v>
      </c>
      <c r="B22" s="7" t="s">
        <v>510</v>
      </c>
      <c r="C22" s="67">
        <v>46.0</v>
      </c>
      <c r="D22" s="79" t="b">
        <v>0</v>
      </c>
      <c r="E22" s="67"/>
      <c r="F22" s="68"/>
      <c r="G22" s="7"/>
      <c r="H22" s="46"/>
      <c r="I22" s="7"/>
    </row>
    <row r="23">
      <c r="A23" s="7" t="s">
        <v>5</v>
      </c>
      <c r="B23" s="7" t="s">
        <v>513</v>
      </c>
      <c r="C23" s="67">
        <v>46.0</v>
      </c>
      <c r="D23" s="79" t="b">
        <v>0</v>
      </c>
      <c r="E23" s="67"/>
      <c r="F23" s="68"/>
      <c r="G23" s="7"/>
      <c r="H23" s="46"/>
      <c r="I23" s="7"/>
    </row>
    <row r="24">
      <c r="A24" s="7" t="s">
        <v>141</v>
      </c>
      <c r="B24" s="7" t="s">
        <v>516</v>
      </c>
      <c r="C24" s="67">
        <v>53.0</v>
      </c>
      <c r="D24" s="79" t="b">
        <v>1</v>
      </c>
      <c r="E24" s="67"/>
      <c r="F24" s="68"/>
      <c r="G24" s="7"/>
      <c r="H24" s="46"/>
      <c r="I24" s="7"/>
    </row>
    <row r="25">
      <c r="A25" s="7" t="s">
        <v>5</v>
      </c>
      <c r="B25" s="71" t="s">
        <v>519</v>
      </c>
      <c r="C25" s="67">
        <v>64.0</v>
      </c>
      <c r="D25" s="79" t="b">
        <v>0</v>
      </c>
      <c r="E25" s="67"/>
      <c r="F25" s="68"/>
      <c r="G25" s="7"/>
      <c r="H25" s="46"/>
      <c r="I25" s="7"/>
    </row>
    <row r="26">
      <c r="A26" s="7" t="s">
        <v>5</v>
      </c>
      <c r="B26" s="71" t="s">
        <v>522</v>
      </c>
      <c r="C26" s="67">
        <v>65.0</v>
      </c>
      <c r="D26" s="79" t="b">
        <v>0</v>
      </c>
      <c r="E26" s="67"/>
      <c r="F26" s="68"/>
      <c r="G26" s="7"/>
      <c r="H26" s="46"/>
      <c r="I26" s="7"/>
    </row>
    <row r="27">
      <c r="A27" s="7" t="s">
        <v>141</v>
      </c>
      <c r="B27" s="71" t="s">
        <v>525</v>
      </c>
      <c r="C27" s="67">
        <v>66.0</v>
      </c>
      <c r="D27" s="79" t="b">
        <v>1</v>
      </c>
      <c r="E27" s="67"/>
      <c r="F27" s="68"/>
      <c r="G27" s="7"/>
      <c r="H27" s="46"/>
      <c r="I27" s="7"/>
    </row>
    <row r="28">
      <c r="A28" s="7" t="s">
        <v>5</v>
      </c>
      <c r="B28" s="71" t="s">
        <v>528</v>
      </c>
      <c r="C28" s="67">
        <v>74.0</v>
      </c>
      <c r="D28" s="79" t="b">
        <v>0</v>
      </c>
      <c r="E28" s="67"/>
      <c r="F28" s="68"/>
      <c r="G28" s="7"/>
      <c r="H28" s="46"/>
      <c r="I28" s="7"/>
    </row>
    <row r="29">
      <c r="A29" s="7" t="s">
        <v>5</v>
      </c>
      <c r="B29" s="71" t="s">
        <v>531</v>
      </c>
      <c r="C29" s="67">
        <v>76.0</v>
      </c>
      <c r="D29" s="79" t="b">
        <v>0</v>
      </c>
      <c r="E29" s="67"/>
      <c r="F29" s="68"/>
      <c r="G29" s="7"/>
      <c r="H29" s="46"/>
      <c r="I29" s="7"/>
    </row>
    <row r="30">
      <c r="A30" s="7" t="s">
        <v>141</v>
      </c>
      <c r="B30" s="71" t="s">
        <v>534</v>
      </c>
      <c r="C30" s="67">
        <v>79.0</v>
      </c>
      <c r="D30" s="79" t="b">
        <v>1</v>
      </c>
      <c r="E30" s="67"/>
      <c r="F30" s="68"/>
      <c r="G30" s="7"/>
      <c r="H30" s="46"/>
      <c r="I30" s="7"/>
    </row>
    <row r="31">
      <c r="A31" s="7" t="s">
        <v>5</v>
      </c>
      <c r="B31" s="71" t="s">
        <v>537</v>
      </c>
      <c r="C31" s="67">
        <v>81.0</v>
      </c>
      <c r="D31" s="79" t="b">
        <v>0</v>
      </c>
      <c r="E31" s="67"/>
      <c r="F31" s="68"/>
      <c r="G31" s="7"/>
      <c r="H31" s="46"/>
      <c r="I31" s="7"/>
    </row>
    <row r="32">
      <c r="A32" s="7" t="s">
        <v>5</v>
      </c>
      <c r="B32" s="71" t="s">
        <v>540</v>
      </c>
      <c r="C32" s="67">
        <v>81.0</v>
      </c>
      <c r="D32" s="79" t="b">
        <v>1</v>
      </c>
      <c r="E32" s="67"/>
      <c r="F32" s="68"/>
      <c r="G32" s="7"/>
      <c r="H32" s="46"/>
      <c r="I32" s="7"/>
    </row>
    <row r="33">
      <c r="A33" s="7" t="s">
        <v>5</v>
      </c>
      <c r="B33" s="71" t="s">
        <v>543</v>
      </c>
      <c r="C33" s="67">
        <v>85.0</v>
      </c>
      <c r="D33" s="79" t="b">
        <v>0</v>
      </c>
      <c r="E33" s="67"/>
      <c r="F33" s="68"/>
      <c r="G33" s="7"/>
      <c r="H33" s="46"/>
      <c r="I33" s="7"/>
    </row>
    <row r="34">
      <c r="A34" s="7" t="s">
        <v>3</v>
      </c>
      <c r="B34" s="71" t="s">
        <v>546</v>
      </c>
      <c r="C34" s="67">
        <v>88.0</v>
      </c>
      <c r="D34" s="79" t="b">
        <v>0</v>
      </c>
      <c r="E34" s="67"/>
      <c r="F34" s="68"/>
      <c r="G34" s="7"/>
      <c r="H34" s="46"/>
      <c r="I34" s="7"/>
    </row>
    <row r="35">
      <c r="A35" s="7" t="s">
        <v>3</v>
      </c>
      <c r="B35" s="71" t="s">
        <v>549</v>
      </c>
      <c r="C35" s="67">
        <v>90.0</v>
      </c>
      <c r="D35" s="79" t="b">
        <v>0</v>
      </c>
      <c r="E35" s="67"/>
      <c r="F35" s="68"/>
      <c r="G35" s="7"/>
      <c r="H35" s="46"/>
      <c r="I35" s="7"/>
    </row>
    <row r="36">
      <c r="A36" s="7" t="s">
        <v>4</v>
      </c>
      <c r="B36" s="71" t="s">
        <v>195</v>
      </c>
      <c r="C36" s="67">
        <v>90.0</v>
      </c>
      <c r="D36" s="79" t="b">
        <v>0</v>
      </c>
      <c r="E36" s="67"/>
      <c r="F36" s="68"/>
      <c r="G36" s="7"/>
      <c r="H36" s="46"/>
      <c r="I36" s="7"/>
    </row>
    <row r="37">
      <c r="A37" s="5"/>
      <c r="B37" s="71"/>
      <c r="C37" s="25"/>
      <c r="D37" s="5"/>
      <c r="E37" s="67"/>
      <c r="F37" s="68"/>
      <c r="G37" s="7"/>
      <c r="H37" s="46"/>
      <c r="I37" s="7"/>
    </row>
    <row r="38">
      <c r="A38" s="5"/>
      <c r="B38" s="71"/>
      <c r="C38" s="25"/>
      <c r="D38" s="5"/>
      <c r="E38" s="75"/>
      <c r="F38" s="68"/>
      <c r="G38" s="5"/>
      <c r="H38" s="46"/>
      <c r="I38" s="5"/>
    </row>
    <row r="39">
      <c r="A39" s="5"/>
      <c r="B39" s="71"/>
      <c r="C39" s="25"/>
      <c r="D39" s="5"/>
      <c r="E39" s="75"/>
      <c r="F39" s="68"/>
      <c r="G39" s="5"/>
      <c r="H39" s="46"/>
      <c r="I39" s="5"/>
    </row>
    <row r="40">
      <c r="A40" s="5"/>
      <c r="B40" s="71"/>
      <c r="C40" s="25"/>
      <c r="D40" s="5"/>
      <c r="E40" s="75"/>
      <c r="F40" s="68"/>
      <c r="G40" s="5"/>
      <c r="H40" s="46"/>
      <c r="I40" s="5"/>
    </row>
    <row r="41">
      <c r="A41" s="5"/>
      <c r="B41" s="71"/>
      <c r="C41" s="25"/>
      <c r="D41" s="5"/>
      <c r="E41" s="75"/>
      <c r="F41" s="68"/>
      <c r="G41" s="5"/>
      <c r="H41" s="46"/>
      <c r="I41" s="5"/>
    </row>
    <row r="42">
      <c r="A42" s="5"/>
      <c r="B42" s="71"/>
      <c r="C42" s="25"/>
      <c r="D42" s="5"/>
      <c r="E42" s="75"/>
      <c r="F42" s="68"/>
      <c r="G42" s="5"/>
      <c r="H42" s="46"/>
      <c r="I42" s="5"/>
    </row>
    <row r="43">
      <c r="A43" s="46"/>
      <c r="B43" s="46"/>
      <c r="C43" s="46"/>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93</v>
      </c>
      <c r="B2" s="7" t="s">
        <v>108</v>
      </c>
      <c r="C2" s="67">
        <f t="shared" ref="C2:C6" si="1">COUNTIF(I:I,A2)</f>
        <v>1</v>
      </c>
      <c r="D2" s="17">
        <f t="shared" ref="D2:D6" si="2">C2/COUNTA(I$2:I1000)</f>
        <v>0.06666666667</v>
      </c>
      <c r="E2" s="77">
        <v>1.623438017E9</v>
      </c>
      <c r="F2" s="68">
        <f>IFERROR(__xludf.DUMMYFUNCTION("INDEX(SPLIT(E2, char(10)), 0, 1)/86400+date(1970,1,1)"),44358.791863425926)</f>
        <v>44358.79186</v>
      </c>
      <c r="G2" s="46" t="s">
        <v>571</v>
      </c>
      <c r="H2" s="46" t="s">
        <v>572</v>
      </c>
      <c r="I2" s="46" t="s">
        <v>14</v>
      </c>
    </row>
    <row r="3">
      <c r="A3" s="7" t="s">
        <v>11</v>
      </c>
      <c r="B3" s="7" t="s">
        <v>111</v>
      </c>
      <c r="C3" s="67">
        <f t="shared" si="1"/>
        <v>3</v>
      </c>
      <c r="D3" s="17">
        <f t="shared" si="2"/>
        <v>0.2</v>
      </c>
      <c r="E3" s="77">
        <v>1.623439383E9</v>
      </c>
      <c r="F3" s="68">
        <f>IFERROR(__xludf.DUMMYFUNCTION("INDEX(SPLIT(E3, char(10)), 0, 1)/86400+date(1970,1,1)"),44358.80767361111)</f>
        <v>44358.80767</v>
      </c>
      <c r="G3" s="46" t="s">
        <v>573</v>
      </c>
      <c r="H3" s="46" t="s">
        <v>574</v>
      </c>
      <c r="I3" s="46" t="s">
        <v>14</v>
      </c>
    </row>
    <row r="4">
      <c r="A4" s="7" t="s">
        <v>12</v>
      </c>
      <c r="B4" s="7" t="s">
        <v>114</v>
      </c>
      <c r="C4" s="67">
        <f t="shared" si="1"/>
        <v>3</v>
      </c>
      <c r="D4" s="17">
        <f t="shared" si="2"/>
        <v>0.2</v>
      </c>
      <c r="E4" s="77">
        <v>1.623439966E9</v>
      </c>
      <c r="F4" s="68">
        <f>IFERROR(__xludf.DUMMYFUNCTION("INDEX(SPLIT(E4, char(10)), 0, 1)/86400+date(1970,1,1)"),44358.814421296294)</f>
        <v>44358.81442</v>
      </c>
      <c r="G4" s="46" t="s">
        <v>566</v>
      </c>
      <c r="H4" s="46" t="s">
        <v>575</v>
      </c>
      <c r="I4" s="46" t="s">
        <v>11</v>
      </c>
    </row>
    <row r="5">
      <c r="A5" s="7" t="s">
        <v>13</v>
      </c>
      <c r="B5" s="7" t="s">
        <v>117</v>
      </c>
      <c r="C5" s="67">
        <f t="shared" si="1"/>
        <v>3</v>
      </c>
      <c r="D5" s="17">
        <f t="shared" si="2"/>
        <v>0.2</v>
      </c>
      <c r="E5" s="77">
        <v>1.623440668E9</v>
      </c>
      <c r="F5" s="68">
        <f>IFERROR(__xludf.DUMMYFUNCTION("INDEX(SPLIT(E5, char(10)), 0, 1)/86400+date(1970,1,1)"),44358.822546296295)</f>
        <v>44358.82255</v>
      </c>
      <c r="G5" s="46" t="s">
        <v>576</v>
      </c>
      <c r="H5" s="46" t="s">
        <v>577</v>
      </c>
      <c r="I5" s="46" t="s">
        <v>14</v>
      </c>
    </row>
    <row r="6">
      <c r="A6" s="7" t="s">
        <v>14</v>
      </c>
      <c r="B6" s="7" t="s">
        <v>120</v>
      </c>
      <c r="C6" s="67">
        <f t="shared" si="1"/>
        <v>5</v>
      </c>
      <c r="D6" s="17">
        <f t="shared" si="2"/>
        <v>0.3333333333</v>
      </c>
      <c r="E6" s="77">
        <v>1.623440799E9</v>
      </c>
      <c r="F6" s="68">
        <f>IFERROR(__xludf.DUMMYFUNCTION("INDEX(SPLIT(E6, char(10)), 0, 1)/86400+date(1970,1,1)"),44358.8240625)</f>
        <v>44358.82406</v>
      </c>
      <c r="G6" s="46" t="s">
        <v>578</v>
      </c>
      <c r="H6" s="46" t="s">
        <v>579</v>
      </c>
      <c r="I6" s="46" t="s">
        <v>11</v>
      </c>
    </row>
    <row r="7">
      <c r="A7" s="5"/>
      <c r="B7" s="7" t="s">
        <v>10</v>
      </c>
      <c r="C7" s="23">
        <f t="shared" ref="C7:D7" si="3">SUM(C2:C6)</f>
        <v>15</v>
      </c>
      <c r="D7" s="70">
        <f t="shared" si="3"/>
        <v>1</v>
      </c>
      <c r="E7" s="77">
        <v>1.623441246E9</v>
      </c>
      <c r="F7" s="68">
        <f>IFERROR(__xludf.DUMMYFUNCTION("INDEX(SPLIT(E7, char(10)), 0, 1)/86400+date(1970,1,1)"),44358.82923611111)</f>
        <v>44358.82924</v>
      </c>
      <c r="G7" s="46" t="s">
        <v>580</v>
      </c>
      <c r="H7" s="46" t="s">
        <v>581</v>
      </c>
      <c r="I7" s="46" t="s">
        <v>12</v>
      </c>
    </row>
    <row r="8">
      <c r="A8" s="71"/>
      <c r="B8" s="7" t="s">
        <v>15</v>
      </c>
      <c r="C8" s="67">
        <f t="shared" ref="C8:D8" si="4">SUM(C5:C6)</f>
        <v>8</v>
      </c>
      <c r="D8" s="17">
        <f t="shared" si="4"/>
        <v>0.5333333333</v>
      </c>
      <c r="E8" s="77">
        <v>1.623442221E9</v>
      </c>
      <c r="F8" s="68">
        <f>IFERROR(__xludf.DUMMYFUNCTION("INDEX(SPLIT(E8, char(10)), 0, 1)/86400+date(1970,1,1)"),44358.84052083333)</f>
        <v>44358.84052</v>
      </c>
      <c r="G8" s="46" t="s">
        <v>582</v>
      </c>
      <c r="H8" s="46" t="s">
        <v>583</v>
      </c>
      <c r="I8" s="46" t="s">
        <v>13</v>
      </c>
    </row>
    <row r="9">
      <c r="A9" s="71"/>
      <c r="B9" s="7" t="s">
        <v>127</v>
      </c>
      <c r="C9" s="67">
        <f>SUM(C6:C7)</f>
        <v>20</v>
      </c>
      <c r="D9" s="17">
        <f>SUM(D5:D6) + D2</f>
        <v>0.6</v>
      </c>
      <c r="E9" s="77">
        <v>1.623442417E9</v>
      </c>
      <c r="F9" s="68">
        <f>IFERROR(__xludf.DUMMYFUNCTION("INDEX(SPLIT(E9, char(10)), 0, 1)/86400+date(1970,1,1)"),44358.84278935185)</f>
        <v>44358.84279</v>
      </c>
      <c r="G9" s="46" t="s">
        <v>584</v>
      </c>
      <c r="H9" s="46" t="s">
        <v>585</v>
      </c>
      <c r="I9" s="46" t="s">
        <v>12</v>
      </c>
    </row>
    <row r="10">
      <c r="A10" s="71"/>
      <c r="B10" s="71"/>
      <c r="C10" s="71"/>
      <c r="D10" s="71"/>
      <c r="E10" s="77">
        <v>1.623442544E9</v>
      </c>
      <c r="F10" s="68">
        <f>IFERROR(__xludf.DUMMYFUNCTION("INDEX(SPLIT(E10, char(10)), 0, 1)/86400+date(1970,1,1)"),44358.84425925926)</f>
        <v>44358.84426</v>
      </c>
      <c r="G10" s="46" t="s">
        <v>586</v>
      </c>
      <c r="H10" s="46" t="s">
        <v>587</v>
      </c>
      <c r="I10" s="46" t="s">
        <v>11</v>
      </c>
    </row>
    <row r="11">
      <c r="A11" s="71"/>
      <c r="B11" s="71"/>
      <c r="C11" s="88"/>
      <c r="D11" s="71"/>
      <c r="E11" s="77">
        <v>1.623443111E9</v>
      </c>
      <c r="F11" s="68">
        <f>IFERROR(__xludf.DUMMYFUNCTION("INDEX(SPLIT(E11, char(10)), 0, 1)/86400+date(1970,1,1)"),44358.85082175926)</f>
        <v>44358.85082</v>
      </c>
      <c r="G11" s="46" t="s">
        <v>588</v>
      </c>
      <c r="H11" s="46" t="s">
        <v>589</v>
      </c>
      <c r="I11" s="46" t="s">
        <v>12</v>
      </c>
    </row>
    <row r="12">
      <c r="A12" s="1" t="s">
        <v>134</v>
      </c>
      <c r="B12" s="89" t="s">
        <v>590</v>
      </c>
      <c r="C12" s="88"/>
      <c r="D12" s="71"/>
      <c r="E12" s="77">
        <v>1.623443243E9</v>
      </c>
      <c r="F12" s="68">
        <f>IFERROR(__xludf.DUMMYFUNCTION("INDEX(SPLIT(E12, char(10)), 0, 1)/86400+date(1970,1,1)"),44358.85234953703)</f>
        <v>44358.85235</v>
      </c>
      <c r="G12" s="46" t="s">
        <v>591</v>
      </c>
      <c r="H12" s="46" t="s">
        <v>592</v>
      </c>
      <c r="I12" s="46" t="s">
        <v>93</v>
      </c>
    </row>
    <row r="13">
      <c r="A13" s="1" t="s">
        <v>138</v>
      </c>
      <c r="B13" s="71"/>
      <c r="C13" s="1" t="s">
        <v>101</v>
      </c>
      <c r="D13" s="1" t="s">
        <v>102</v>
      </c>
      <c r="E13" s="77">
        <v>1.623443834E9</v>
      </c>
      <c r="F13" s="68">
        <f>IFERROR(__xludf.DUMMYFUNCTION("INDEX(SPLIT(E13, char(10)), 0, 1)/86400+date(1970,1,1)"),44358.859189814815)</f>
        <v>44358.85919</v>
      </c>
      <c r="G13" s="46" t="s">
        <v>593</v>
      </c>
      <c r="H13" s="46" t="s">
        <v>594</v>
      </c>
      <c r="I13" s="46" t="s">
        <v>13</v>
      </c>
    </row>
    <row r="14">
      <c r="A14" s="7" t="s">
        <v>141</v>
      </c>
      <c r="B14" s="7" t="s">
        <v>142</v>
      </c>
      <c r="C14" s="23">
        <f t="shared" ref="C14:C17" si="5">COUNTIF($A$19:$A1000, A14)</f>
        <v>3</v>
      </c>
      <c r="D14" s="17">
        <f>IFERROR(__xludf.DUMMYFUNCTION("IF(C14, COUNTIF(FILTER($D$19:$D1000, $A$19:$A1000=A14), TRUE)/C14, 0)"),0.3333333333333333)</f>
        <v>0.3333333333</v>
      </c>
      <c r="E14" s="77">
        <v>1.62344394E9</v>
      </c>
      <c r="F14" s="68">
        <f>IFERROR(__xludf.DUMMYFUNCTION("INDEX(SPLIT(E14, char(10)), 0, 1)/86400+date(1970,1,1)"),44358.86041666666)</f>
        <v>44358.86042</v>
      </c>
      <c r="G14" s="46" t="s">
        <v>595</v>
      </c>
      <c r="H14" s="46" t="s">
        <v>596</v>
      </c>
      <c r="I14" s="46" t="s">
        <v>13</v>
      </c>
    </row>
    <row r="15">
      <c r="A15" s="7" t="s">
        <v>3</v>
      </c>
      <c r="B15" s="7" t="s">
        <v>145</v>
      </c>
      <c r="C15" s="23">
        <f t="shared" si="5"/>
        <v>2</v>
      </c>
      <c r="D15" s="17">
        <f>IFERROR(__xludf.DUMMYFUNCTION("IF(C15, COUNTIF(FILTER($D$19:$D1000, $A$19:$A1000=A15), TRUE)/C15, 0)"),0.0)</f>
        <v>0</v>
      </c>
      <c r="E15" s="77">
        <v>1.623444537E9</v>
      </c>
      <c r="F15" s="68">
        <f>IFERROR(__xludf.DUMMYFUNCTION("INDEX(SPLIT(E15, char(10)), 0, 1)/86400+date(1970,1,1)"),44358.86732638889)</f>
        <v>44358.86733</v>
      </c>
      <c r="G15" s="46" t="s">
        <v>597</v>
      </c>
      <c r="H15" s="46" t="s">
        <v>598</v>
      </c>
      <c r="I15" s="46" t="s">
        <v>14</v>
      </c>
    </row>
    <row r="16">
      <c r="A16" s="7" t="s">
        <v>4</v>
      </c>
      <c r="B16" s="7" t="s">
        <v>148</v>
      </c>
      <c r="C16" s="23">
        <f t="shared" si="5"/>
        <v>4</v>
      </c>
      <c r="D16" s="17">
        <f>IFERROR(__xludf.DUMMYFUNCTION("IF(C16, COUNTIF(FILTER($D$19:$D1000, $A$19:$A1000=A16), TRUE)/C16, 0)"),0.0)</f>
        <v>0</v>
      </c>
      <c r="E16" s="77">
        <v>1.62344467E9</v>
      </c>
      <c r="F16" s="68">
        <f>IFERROR(__xludf.DUMMYFUNCTION("INDEX(SPLIT(E16, char(10)), 0, 1)/86400+date(1970,1,1)"),44358.86886574074)</f>
        <v>44358.86887</v>
      </c>
      <c r="G16" s="46" t="s">
        <v>599</v>
      </c>
      <c r="H16" s="46" t="s">
        <v>600</v>
      </c>
      <c r="I16" s="46" t="s">
        <v>14</v>
      </c>
    </row>
    <row r="17">
      <c r="A17" s="7" t="s">
        <v>5</v>
      </c>
      <c r="B17" s="7" t="s">
        <v>151</v>
      </c>
      <c r="C17" s="23">
        <f t="shared" si="5"/>
        <v>9</v>
      </c>
      <c r="D17" s="17">
        <f>IFERROR(__xludf.DUMMYFUNCTION("IF(C17, COUNTIF(FILTER($D$19:$D1000, $A$19:$A1000=A17), TRUE)/C17, 0)"),0.2222222222222222)</f>
        <v>0.2222222222</v>
      </c>
      <c r="E17" s="67"/>
      <c r="F17" s="68"/>
      <c r="G17" s="7"/>
      <c r="H17" s="46"/>
      <c r="I17" s="7"/>
    </row>
    <row r="18">
      <c r="A18" s="71"/>
      <c r="B18" s="1" t="s">
        <v>6</v>
      </c>
      <c r="C18" s="23">
        <f>SUM(C14:C17)</f>
        <v>18</v>
      </c>
      <c r="D18" s="17">
        <f>COUNTIF($D$19:$D1000, TRUE)/SUM($C$14:$C$17)</f>
        <v>0.1666666667</v>
      </c>
      <c r="E18" s="67"/>
      <c r="F18" s="68"/>
      <c r="G18" s="7"/>
      <c r="H18" s="46"/>
      <c r="I18" s="7"/>
    </row>
    <row r="19">
      <c r="A19" s="7" t="s">
        <v>4</v>
      </c>
      <c r="B19" s="7" t="s">
        <v>161</v>
      </c>
      <c r="C19" s="67">
        <v>1.0</v>
      </c>
      <c r="D19" s="74" t="b">
        <v>0</v>
      </c>
      <c r="E19" s="67"/>
      <c r="F19" s="68"/>
      <c r="G19" s="7"/>
      <c r="H19" s="46"/>
      <c r="I19" s="7"/>
    </row>
    <row r="20">
      <c r="A20" s="7" t="s">
        <v>4</v>
      </c>
      <c r="B20" s="7" t="s">
        <v>167</v>
      </c>
      <c r="C20" s="67">
        <v>45.0</v>
      </c>
      <c r="D20" s="79" t="b">
        <v>0</v>
      </c>
      <c r="E20" s="67"/>
      <c r="F20" s="68"/>
      <c r="G20" s="7"/>
      <c r="H20" s="46"/>
      <c r="I20" s="7"/>
    </row>
    <row r="21">
      <c r="A21" s="7" t="s">
        <v>4</v>
      </c>
      <c r="B21" s="7" t="s">
        <v>170</v>
      </c>
      <c r="C21" s="67">
        <v>45.0</v>
      </c>
      <c r="D21" s="79" t="b">
        <v>0</v>
      </c>
      <c r="E21" s="67"/>
      <c r="F21" s="68"/>
      <c r="G21" s="7"/>
      <c r="H21" s="46"/>
      <c r="I21" s="7"/>
    </row>
    <row r="22">
      <c r="A22" s="7" t="s">
        <v>5</v>
      </c>
      <c r="B22" s="7" t="s">
        <v>510</v>
      </c>
      <c r="C22" s="67">
        <v>46.0</v>
      </c>
      <c r="D22" s="79" t="b">
        <v>0</v>
      </c>
      <c r="E22" s="67"/>
      <c r="F22" s="68"/>
      <c r="G22" s="7"/>
      <c r="H22" s="46"/>
      <c r="I22" s="7"/>
    </row>
    <row r="23">
      <c r="A23" s="7" t="s">
        <v>5</v>
      </c>
      <c r="B23" s="7" t="s">
        <v>513</v>
      </c>
      <c r="C23" s="67">
        <v>46.0</v>
      </c>
      <c r="D23" s="79" t="b">
        <v>0</v>
      </c>
      <c r="E23" s="67"/>
      <c r="F23" s="68"/>
      <c r="G23" s="7"/>
      <c r="H23" s="46"/>
      <c r="I23" s="7"/>
    </row>
    <row r="24">
      <c r="A24" s="7" t="s">
        <v>141</v>
      </c>
      <c r="B24" s="7" t="s">
        <v>516</v>
      </c>
      <c r="C24" s="67">
        <v>53.0</v>
      </c>
      <c r="D24" s="79" t="b">
        <v>1</v>
      </c>
      <c r="E24" s="67"/>
      <c r="F24" s="68"/>
      <c r="G24" s="7"/>
      <c r="H24" s="46"/>
      <c r="I24" s="7"/>
    </row>
    <row r="25">
      <c r="A25" s="7" t="s">
        <v>5</v>
      </c>
      <c r="B25" s="71" t="s">
        <v>519</v>
      </c>
      <c r="C25" s="67">
        <v>64.0</v>
      </c>
      <c r="D25" s="79" t="b">
        <v>0</v>
      </c>
      <c r="E25" s="67"/>
      <c r="F25" s="68"/>
      <c r="G25" s="7"/>
      <c r="H25" s="46"/>
      <c r="I25" s="7"/>
    </row>
    <row r="26">
      <c r="A26" s="7" t="s">
        <v>5</v>
      </c>
      <c r="B26" s="71" t="s">
        <v>522</v>
      </c>
      <c r="C26" s="67">
        <v>65.0</v>
      </c>
      <c r="D26" s="79" t="b">
        <v>0</v>
      </c>
      <c r="E26" s="67"/>
      <c r="F26" s="68"/>
      <c r="G26" s="7"/>
      <c r="H26" s="46"/>
      <c r="I26" s="7"/>
    </row>
    <row r="27">
      <c r="A27" s="7" t="s">
        <v>141</v>
      </c>
      <c r="B27" s="71" t="s">
        <v>525</v>
      </c>
      <c r="C27" s="67">
        <v>66.0</v>
      </c>
      <c r="D27" s="79" t="b">
        <v>0</v>
      </c>
      <c r="E27" s="67"/>
      <c r="F27" s="68"/>
      <c r="G27" s="7"/>
      <c r="H27" s="46"/>
      <c r="I27" s="7"/>
    </row>
    <row r="28">
      <c r="A28" s="7" t="s">
        <v>5</v>
      </c>
      <c r="B28" s="71" t="s">
        <v>528</v>
      </c>
      <c r="C28" s="67">
        <v>74.0</v>
      </c>
      <c r="D28" s="79" t="b">
        <v>0</v>
      </c>
      <c r="E28" s="67"/>
      <c r="F28" s="68"/>
      <c r="G28" s="7"/>
      <c r="H28" s="46"/>
      <c r="I28" s="7"/>
    </row>
    <row r="29">
      <c r="A29" s="7" t="s">
        <v>5</v>
      </c>
      <c r="B29" s="71" t="s">
        <v>531</v>
      </c>
      <c r="C29" s="67">
        <v>76.0</v>
      </c>
      <c r="D29" s="79" t="b">
        <v>0</v>
      </c>
      <c r="E29" s="67"/>
      <c r="F29" s="68"/>
      <c r="G29" s="7"/>
      <c r="H29" s="46"/>
      <c r="I29" s="7"/>
    </row>
    <row r="30">
      <c r="A30" s="7" t="s">
        <v>141</v>
      </c>
      <c r="B30" s="71" t="s">
        <v>534</v>
      </c>
      <c r="C30" s="67">
        <v>79.0</v>
      </c>
      <c r="D30" s="79" t="b">
        <v>0</v>
      </c>
      <c r="E30" s="67"/>
      <c r="F30" s="68"/>
      <c r="G30" s="7"/>
      <c r="H30" s="46"/>
      <c r="I30" s="7"/>
    </row>
    <row r="31">
      <c r="A31" s="7" t="s">
        <v>5</v>
      </c>
      <c r="B31" s="71" t="s">
        <v>537</v>
      </c>
      <c r="C31" s="67">
        <v>81.0</v>
      </c>
      <c r="D31" s="79" t="b">
        <v>1</v>
      </c>
      <c r="E31" s="67"/>
      <c r="F31" s="68"/>
      <c r="G31" s="7"/>
      <c r="H31" s="46"/>
      <c r="I31" s="7"/>
    </row>
    <row r="32">
      <c r="A32" s="7" t="s">
        <v>5</v>
      </c>
      <c r="B32" s="71" t="s">
        <v>540</v>
      </c>
      <c r="C32" s="67">
        <v>81.0</v>
      </c>
      <c r="D32" s="79" t="b">
        <v>1</v>
      </c>
      <c r="E32" s="67"/>
      <c r="F32" s="68"/>
      <c r="G32" s="7"/>
      <c r="H32" s="46"/>
      <c r="I32" s="7"/>
    </row>
    <row r="33">
      <c r="A33" s="7" t="s">
        <v>5</v>
      </c>
      <c r="B33" s="71" t="s">
        <v>543</v>
      </c>
      <c r="C33" s="67">
        <v>85.0</v>
      </c>
      <c r="D33" s="79" t="b">
        <v>0</v>
      </c>
      <c r="E33" s="67"/>
      <c r="F33" s="68"/>
      <c r="G33" s="7"/>
      <c r="H33" s="46"/>
      <c r="I33" s="7"/>
    </row>
    <row r="34">
      <c r="A34" s="7" t="s">
        <v>3</v>
      </c>
      <c r="B34" s="71" t="s">
        <v>546</v>
      </c>
      <c r="C34" s="67">
        <v>88.0</v>
      </c>
      <c r="D34" s="79" t="b">
        <v>0</v>
      </c>
      <c r="E34" s="67"/>
      <c r="F34" s="68"/>
      <c r="G34" s="7"/>
      <c r="H34" s="46"/>
      <c r="I34" s="7"/>
    </row>
    <row r="35">
      <c r="A35" s="7" t="s">
        <v>3</v>
      </c>
      <c r="B35" s="71" t="s">
        <v>549</v>
      </c>
      <c r="C35" s="67">
        <v>90.0</v>
      </c>
      <c r="D35" s="79" t="b">
        <v>0</v>
      </c>
      <c r="E35" s="67"/>
      <c r="F35" s="68"/>
      <c r="G35" s="7"/>
      <c r="H35" s="46"/>
      <c r="I35" s="7"/>
    </row>
    <row r="36">
      <c r="A36" s="7" t="s">
        <v>4</v>
      </c>
      <c r="B36" s="71" t="s">
        <v>195</v>
      </c>
      <c r="C36" s="67">
        <v>90.0</v>
      </c>
      <c r="D36" s="79" t="b">
        <v>0</v>
      </c>
      <c r="E36" s="67"/>
      <c r="F36" s="68"/>
      <c r="G36" s="7"/>
      <c r="H36" s="46"/>
      <c r="I36" s="7"/>
    </row>
    <row r="37">
      <c r="A37" s="5"/>
      <c r="B37" s="71"/>
      <c r="C37" s="25"/>
      <c r="D37" s="5"/>
      <c r="E37" s="67"/>
      <c r="F37" s="68"/>
      <c r="G37" s="7"/>
      <c r="H37" s="46"/>
      <c r="I37" s="7"/>
    </row>
    <row r="38">
      <c r="A38" s="46"/>
      <c r="B38" s="46"/>
      <c r="C38" s="77"/>
      <c r="D38" s="5"/>
      <c r="E38" s="75"/>
      <c r="F38" s="68"/>
      <c r="G38" s="5"/>
      <c r="H38" s="46"/>
      <c r="I38" s="5"/>
    </row>
    <row r="39">
      <c r="A39" s="46"/>
      <c r="B39" s="46"/>
      <c r="C39" s="77"/>
      <c r="D39" s="5"/>
      <c r="E39" s="75"/>
      <c r="F39" s="68"/>
      <c r="G39" s="5"/>
      <c r="H39" s="46"/>
      <c r="I39" s="5"/>
    </row>
    <row r="40">
      <c r="A40" s="46"/>
      <c r="B40" s="46"/>
      <c r="C40" s="77"/>
      <c r="D40" s="5"/>
      <c r="E40" s="75"/>
      <c r="F40" s="68"/>
      <c r="G40" s="5"/>
      <c r="H40" s="46"/>
      <c r="I40" s="5"/>
    </row>
    <row r="41">
      <c r="A41" s="46"/>
      <c r="B41" s="46"/>
      <c r="C41" s="77"/>
      <c r="D41" s="5"/>
      <c r="E41" s="75"/>
      <c r="F41" s="68"/>
      <c r="G41" s="5"/>
      <c r="H41" s="46"/>
      <c r="I41" s="5"/>
    </row>
    <row r="42">
      <c r="A42" s="46"/>
      <c r="B42" s="46"/>
      <c r="C42" s="77"/>
      <c r="D42" s="5"/>
      <c r="E42" s="75"/>
      <c r="F42" s="68"/>
      <c r="G42" s="5"/>
      <c r="H42" s="46"/>
      <c r="I42" s="5"/>
    </row>
    <row r="43">
      <c r="A43" s="46"/>
      <c r="B43" s="46"/>
      <c r="C43" s="46"/>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93</v>
      </c>
      <c r="B2" s="7" t="s">
        <v>108</v>
      </c>
      <c r="C2" s="67">
        <f t="shared" ref="C2:C6" si="1">COUNTIF(I:I,A2)</f>
        <v>1</v>
      </c>
      <c r="D2" s="17">
        <f t="shared" ref="D2:D6" si="2">C2/COUNTA(I$2:I1000)</f>
        <v>0.04347826087</v>
      </c>
      <c r="E2" s="77">
        <v>1.623438005E9</v>
      </c>
      <c r="F2" s="68">
        <f>IFERROR(__xludf.DUMMYFUNCTION("INDEX(SPLIT(E2, char(10)), 0, 1)/86400+date(1970,1,1)"),44358.79172453703)</f>
        <v>44358.79172</v>
      </c>
      <c r="G2" s="46" t="s">
        <v>601</v>
      </c>
      <c r="H2" s="46" t="s">
        <v>602</v>
      </c>
      <c r="I2" s="46" t="s">
        <v>14</v>
      </c>
    </row>
    <row r="3">
      <c r="A3" s="7" t="s">
        <v>11</v>
      </c>
      <c r="B3" s="7" t="s">
        <v>111</v>
      </c>
      <c r="C3" s="67">
        <f t="shared" si="1"/>
        <v>2</v>
      </c>
      <c r="D3" s="17">
        <f t="shared" si="2"/>
        <v>0.08695652174</v>
      </c>
      <c r="E3" s="77">
        <v>1.623439145E9</v>
      </c>
      <c r="F3" s="68">
        <f>IFERROR(__xludf.DUMMYFUNCTION("INDEX(SPLIT(E3, char(10)), 0, 1)/86400+date(1970,1,1)"),44358.80491898148)</f>
        <v>44358.80492</v>
      </c>
      <c r="G3" s="46" t="s">
        <v>603</v>
      </c>
      <c r="H3" s="46" t="s">
        <v>604</v>
      </c>
      <c r="I3" s="46" t="s">
        <v>14</v>
      </c>
    </row>
    <row r="4">
      <c r="A4" s="7" t="s">
        <v>12</v>
      </c>
      <c r="B4" s="7" t="s">
        <v>114</v>
      </c>
      <c r="C4" s="67">
        <f t="shared" si="1"/>
        <v>7</v>
      </c>
      <c r="D4" s="17">
        <f t="shared" si="2"/>
        <v>0.3043478261</v>
      </c>
      <c r="E4" s="77">
        <v>1.623439335E9</v>
      </c>
      <c r="F4" s="68">
        <f>IFERROR(__xludf.DUMMYFUNCTION("INDEX(SPLIT(E4, char(10)), 0, 1)/86400+date(1970,1,1)"),44358.807118055556)</f>
        <v>44358.80712</v>
      </c>
      <c r="G4" s="46" t="s">
        <v>605</v>
      </c>
      <c r="H4" s="46" t="s">
        <v>606</v>
      </c>
      <c r="I4" s="46" t="s">
        <v>14</v>
      </c>
    </row>
    <row r="5">
      <c r="A5" s="7" t="s">
        <v>13</v>
      </c>
      <c r="B5" s="7" t="s">
        <v>117</v>
      </c>
      <c r="C5" s="67">
        <f t="shared" si="1"/>
        <v>6</v>
      </c>
      <c r="D5" s="17">
        <f t="shared" si="2"/>
        <v>0.2608695652</v>
      </c>
      <c r="E5" s="77">
        <v>1.623439911E9</v>
      </c>
      <c r="F5" s="68">
        <f>IFERROR(__xludf.DUMMYFUNCTION("INDEX(SPLIT(E5, char(10)), 0, 1)/86400+date(1970,1,1)"),44358.813784722224)</f>
        <v>44358.81378</v>
      </c>
      <c r="G5" s="46" t="s">
        <v>386</v>
      </c>
      <c r="H5" s="46" t="s">
        <v>607</v>
      </c>
      <c r="I5" s="46" t="s">
        <v>14</v>
      </c>
    </row>
    <row r="6">
      <c r="A6" s="7" t="s">
        <v>14</v>
      </c>
      <c r="B6" s="7" t="s">
        <v>120</v>
      </c>
      <c r="C6" s="67">
        <f t="shared" si="1"/>
        <v>7</v>
      </c>
      <c r="D6" s="17">
        <f t="shared" si="2"/>
        <v>0.3043478261</v>
      </c>
      <c r="E6" s="77">
        <v>1.623440652E9</v>
      </c>
      <c r="F6" s="68">
        <f>IFERROR(__xludf.DUMMYFUNCTION("INDEX(SPLIT(E6, char(10)), 0, 1)/86400+date(1970,1,1)"),44358.82236111111)</f>
        <v>44358.82236</v>
      </c>
      <c r="G6" s="46" t="s">
        <v>576</v>
      </c>
      <c r="H6" s="46" t="s">
        <v>608</v>
      </c>
      <c r="I6" s="46" t="s">
        <v>14</v>
      </c>
    </row>
    <row r="7">
      <c r="A7" s="5"/>
      <c r="B7" s="7" t="s">
        <v>10</v>
      </c>
      <c r="C7" s="23">
        <f t="shared" ref="C7:D7" si="3">SUM(C2:C6)</f>
        <v>23</v>
      </c>
      <c r="D7" s="70">
        <f t="shared" si="3"/>
        <v>1</v>
      </c>
      <c r="E7" s="77">
        <v>1.623440752E9</v>
      </c>
      <c r="F7" s="68">
        <f>IFERROR(__xludf.DUMMYFUNCTION("INDEX(SPLIT(E7, char(10)), 0, 1)/86400+date(1970,1,1)"),44358.82351851852)</f>
        <v>44358.82352</v>
      </c>
      <c r="G7" s="46" t="s">
        <v>609</v>
      </c>
      <c r="H7" s="46" t="s">
        <v>610</v>
      </c>
      <c r="I7" s="46" t="s">
        <v>12</v>
      </c>
    </row>
    <row r="8">
      <c r="A8" s="71"/>
      <c r="B8" s="7" t="s">
        <v>15</v>
      </c>
      <c r="C8" s="67">
        <f t="shared" ref="C8:D8" si="4">SUM(C5:C6)</f>
        <v>13</v>
      </c>
      <c r="D8" s="17">
        <f t="shared" si="4"/>
        <v>0.5652173913</v>
      </c>
      <c r="E8" s="77">
        <v>1.623440989E9</v>
      </c>
      <c r="F8" s="68">
        <f>IFERROR(__xludf.DUMMYFUNCTION("INDEX(SPLIT(E8, char(10)), 0, 1)/86400+date(1970,1,1)"),44358.826261574075)</f>
        <v>44358.82626</v>
      </c>
      <c r="G8" s="46" t="s">
        <v>498</v>
      </c>
      <c r="H8" s="46" t="s">
        <v>611</v>
      </c>
      <c r="I8" s="46" t="s">
        <v>12</v>
      </c>
    </row>
    <row r="9">
      <c r="A9" s="71"/>
      <c r="B9" s="7" t="s">
        <v>127</v>
      </c>
      <c r="C9" s="67">
        <f>SUM(C6:C7)</f>
        <v>30</v>
      </c>
      <c r="D9" s="17">
        <f>SUM(D5:D6) + D2</f>
        <v>0.6086956522</v>
      </c>
      <c r="E9" s="77">
        <v>1.623441753E9</v>
      </c>
      <c r="F9" s="68">
        <f>IFERROR(__xludf.DUMMYFUNCTION("INDEX(SPLIT(E9, char(10)), 0, 1)/86400+date(1970,1,1)"),44358.83510416667)</f>
        <v>44358.8351</v>
      </c>
      <c r="G9" s="46" t="s">
        <v>612</v>
      </c>
      <c r="H9" s="46" t="s">
        <v>613</v>
      </c>
      <c r="I9" s="46" t="s">
        <v>13</v>
      </c>
    </row>
    <row r="10">
      <c r="A10" s="71"/>
      <c r="B10" s="71"/>
      <c r="C10" s="71"/>
      <c r="D10" s="71"/>
      <c r="E10" s="77">
        <v>1.623441895E9</v>
      </c>
      <c r="F10" s="68">
        <f>IFERROR(__xludf.DUMMYFUNCTION("INDEX(SPLIT(E10, char(10)), 0, 1)/86400+date(1970,1,1)"),44358.836747685185)</f>
        <v>44358.83675</v>
      </c>
      <c r="G10" s="46" t="s">
        <v>386</v>
      </c>
      <c r="H10" s="46" t="s">
        <v>614</v>
      </c>
      <c r="I10" s="46" t="s">
        <v>14</v>
      </c>
    </row>
    <row r="11">
      <c r="A11" s="71"/>
      <c r="B11" s="71"/>
      <c r="C11" s="88"/>
      <c r="D11" s="71"/>
      <c r="E11" s="77">
        <v>1.623442221E9</v>
      </c>
      <c r="F11" s="68">
        <f>IFERROR(__xludf.DUMMYFUNCTION("INDEX(SPLIT(E11, char(10)), 0, 1)/86400+date(1970,1,1)"),44358.84052083333)</f>
        <v>44358.84052</v>
      </c>
      <c r="G11" s="46" t="s">
        <v>615</v>
      </c>
      <c r="H11" s="46" t="s">
        <v>616</v>
      </c>
      <c r="I11" s="46" t="s">
        <v>13</v>
      </c>
    </row>
    <row r="12">
      <c r="A12" s="1" t="s">
        <v>134</v>
      </c>
      <c r="B12" s="89" t="s">
        <v>617</v>
      </c>
      <c r="C12" s="88"/>
      <c r="D12" s="71"/>
      <c r="E12" s="77">
        <v>1.623442363E9</v>
      </c>
      <c r="F12" s="68">
        <f>IFERROR(__xludf.DUMMYFUNCTION("INDEX(SPLIT(E12, char(10)), 0, 1)/86400+date(1970,1,1)"),44358.84216435185)</f>
        <v>44358.84216</v>
      </c>
      <c r="G12" s="46" t="s">
        <v>566</v>
      </c>
      <c r="H12" s="46" t="s">
        <v>618</v>
      </c>
      <c r="I12" s="46" t="s">
        <v>12</v>
      </c>
    </row>
    <row r="13">
      <c r="A13" s="1" t="s">
        <v>138</v>
      </c>
      <c r="B13" s="71"/>
      <c r="C13" s="1" t="s">
        <v>101</v>
      </c>
      <c r="D13" s="1" t="s">
        <v>102</v>
      </c>
      <c r="E13" s="77">
        <v>1.623442476E9</v>
      </c>
      <c r="F13" s="68">
        <f>IFERROR(__xludf.DUMMYFUNCTION("INDEX(SPLIT(E13, char(10)), 0, 1)/86400+date(1970,1,1)"),44358.84347222222)</f>
        <v>44358.84347</v>
      </c>
      <c r="G13" s="46" t="s">
        <v>619</v>
      </c>
      <c r="H13" s="46" t="s">
        <v>620</v>
      </c>
      <c r="I13" s="46" t="s">
        <v>11</v>
      </c>
    </row>
    <row r="14">
      <c r="A14" s="7" t="s">
        <v>141</v>
      </c>
      <c r="B14" s="7" t="s">
        <v>142</v>
      </c>
      <c r="C14" s="23">
        <f t="shared" ref="C14:C17" si="5">COUNTIF($A$19:$A1000, A14)</f>
        <v>3</v>
      </c>
      <c r="D14" s="17">
        <f>IFERROR(__xludf.DUMMYFUNCTION("IF(C14, COUNTIF(FILTER($D$19:$D1000, $A$19:$A1000=A14), TRUE)/C14, 0)"),1.0)</f>
        <v>1</v>
      </c>
      <c r="E14" s="77">
        <v>1.623442675E9</v>
      </c>
      <c r="F14" s="68">
        <f>IFERROR(__xludf.DUMMYFUNCTION("INDEX(SPLIT(E14, char(10)), 0, 1)/86400+date(1970,1,1)"),44358.84577546296)</f>
        <v>44358.84578</v>
      </c>
      <c r="G14" s="46" t="s">
        <v>621</v>
      </c>
      <c r="H14" s="46" t="s">
        <v>622</v>
      </c>
      <c r="I14" s="46" t="s">
        <v>12</v>
      </c>
    </row>
    <row r="15">
      <c r="A15" s="7" t="s">
        <v>3</v>
      </c>
      <c r="B15" s="7" t="s">
        <v>145</v>
      </c>
      <c r="C15" s="23">
        <f t="shared" si="5"/>
        <v>2</v>
      </c>
      <c r="D15" s="17">
        <f>IFERROR(__xludf.DUMMYFUNCTION("IF(C15, COUNTIF(FILTER($D$19:$D1000, $A$19:$A1000=A15), TRUE)/C15, 0)"),0.0)</f>
        <v>0</v>
      </c>
      <c r="E15" s="77">
        <v>1.623443038E9</v>
      </c>
      <c r="F15" s="68">
        <f>IFERROR(__xludf.DUMMYFUNCTION("INDEX(SPLIT(E15, char(10)), 0, 1)/86400+date(1970,1,1)"),44358.84997685185)</f>
        <v>44358.84998</v>
      </c>
      <c r="G15" s="46" t="s">
        <v>623</v>
      </c>
      <c r="H15" s="46" t="s">
        <v>624</v>
      </c>
      <c r="I15" s="46" t="s">
        <v>13</v>
      </c>
    </row>
    <row r="16">
      <c r="A16" s="7" t="s">
        <v>4</v>
      </c>
      <c r="B16" s="7" t="s">
        <v>148</v>
      </c>
      <c r="C16" s="23">
        <f t="shared" si="5"/>
        <v>4</v>
      </c>
      <c r="D16" s="17">
        <f>IFERROR(__xludf.DUMMYFUNCTION("IF(C16, COUNTIF(FILTER($D$19:$D1000, $A$19:$A1000=A16), TRUE)/C16, 0)"),0.0)</f>
        <v>0</v>
      </c>
      <c r="E16" s="77">
        <v>1.623443128E9</v>
      </c>
      <c r="F16" s="68">
        <f>IFERROR(__xludf.DUMMYFUNCTION("INDEX(SPLIT(E16, char(10)), 0, 1)/86400+date(1970,1,1)"),44358.851018518515)</f>
        <v>44358.85102</v>
      </c>
      <c r="G16" s="46" t="s">
        <v>625</v>
      </c>
      <c r="H16" s="46" t="s">
        <v>626</v>
      </c>
      <c r="I16" s="46" t="s">
        <v>12</v>
      </c>
    </row>
    <row r="17">
      <c r="A17" s="7" t="s">
        <v>5</v>
      </c>
      <c r="B17" s="7" t="s">
        <v>151</v>
      </c>
      <c r="C17" s="23">
        <f t="shared" si="5"/>
        <v>9</v>
      </c>
      <c r="D17" s="17">
        <f>IFERROR(__xludf.DUMMYFUNCTION("IF(C17, COUNTIF(FILTER($D$19:$D1000, $A$19:$A1000=A17), TRUE)/C17, 0)"),0.4444444444444444)</f>
        <v>0.4444444444</v>
      </c>
      <c r="E17" s="77">
        <v>1.623443515E9</v>
      </c>
      <c r="F17" s="68">
        <f>IFERROR(__xludf.DUMMYFUNCTION("INDEX(SPLIT(E17, char(10)), 0, 1)/86400+date(1970,1,1)"),44358.85549768519)</f>
        <v>44358.8555</v>
      </c>
      <c r="G17" s="46" t="s">
        <v>627</v>
      </c>
      <c r="H17" s="46" t="s">
        <v>628</v>
      </c>
      <c r="I17" s="46" t="s">
        <v>13</v>
      </c>
    </row>
    <row r="18">
      <c r="A18" s="71"/>
      <c r="B18" s="1" t="s">
        <v>6</v>
      </c>
      <c r="C18" s="23">
        <f>SUM(C14:C17)</f>
        <v>18</v>
      </c>
      <c r="D18" s="17">
        <f>COUNTIF($D$19:$D1000, TRUE)/SUM($C$14:$C$17)</f>
        <v>0.3888888889</v>
      </c>
      <c r="E18" s="77">
        <v>1.623443622E9</v>
      </c>
      <c r="F18" s="68">
        <f>IFERROR(__xludf.DUMMYFUNCTION("INDEX(SPLIT(E18, char(10)), 0, 1)/86400+date(1970,1,1)"),44358.85673611111)</f>
        <v>44358.85674</v>
      </c>
      <c r="G18" s="46" t="s">
        <v>629</v>
      </c>
      <c r="H18" s="46" t="s">
        <v>630</v>
      </c>
      <c r="I18" s="46" t="s">
        <v>12</v>
      </c>
    </row>
    <row r="19">
      <c r="A19" s="7" t="s">
        <v>4</v>
      </c>
      <c r="B19" s="7" t="s">
        <v>161</v>
      </c>
      <c r="C19" s="67">
        <v>1.0</v>
      </c>
      <c r="D19" s="74" t="b">
        <v>0</v>
      </c>
      <c r="E19" s="77">
        <v>1.623443811E9</v>
      </c>
      <c r="F19" s="68">
        <f>IFERROR(__xludf.DUMMYFUNCTION("INDEX(SPLIT(E19, char(10)), 0, 1)/86400+date(1970,1,1)"),44358.858923611115)</f>
        <v>44358.85892</v>
      </c>
      <c r="G19" s="46" t="s">
        <v>631</v>
      </c>
      <c r="H19" s="46" t="s">
        <v>632</v>
      </c>
      <c r="I19" s="46" t="s">
        <v>13</v>
      </c>
    </row>
    <row r="20">
      <c r="A20" s="7" t="s">
        <v>4</v>
      </c>
      <c r="B20" s="7" t="s">
        <v>167</v>
      </c>
      <c r="C20" s="67">
        <v>45.0</v>
      </c>
      <c r="D20" s="79" t="b">
        <v>0</v>
      </c>
      <c r="E20" s="77">
        <v>1.623443907E9</v>
      </c>
      <c r="F20" s="68">
        <f>IFERROR(__xludf.DUMMYFUNCTION("INDEX(SPLIT(E20, char(10)), 0, 1)/86400+date(1970,1,1)"),44358.860034722224)</f>
        <v>44358.86003</v>
      </c>
      <c r="G20" s="46" t="s">
        <v>633</v>
      </c>
      <c r="H20" s="46" t="s">
        <v>634</v>
      </c>
      <c r="I20" s="46" t="s">
        <v>13</v>
      </c>
    </row>
    <row r="21">
      <c r="A21" s="7" t="s">
        <v>4</v>
      </c>
      <c r="B21" s="7" t="s">
        <v>170</v>
      </c>
      <c r="C21" s="67">
        <v>45.0</v>
      </c>
      <c r="D21" s="79" t="b">
        <v>0</v>
      </c>
      <c r="E21" s="77">
        <v>1.623444015E9</v>
      </c>
      <c r="F21" s="68">
        <f>IFERROR(__xludf.DUMMYFUNCTION("INDEX(SPLIT(E21, char(10)), 0, 1)/86400+date(1970,1,1)"),44358.861284722225)</f>
        <v>44358.86128</v>
      </c>
      <c r="G21" s="46" t="s">
        <v>635</v>
      </c>
      <c r="H21" s="46" t="s">
        <v>636</v>
      </c>
      <c r="I21" s="46" t="s">
        <v>93</v>
      </c>
    </row>
    <row r="22">
      <c r="A22" s="7" t="s">
        <v>5</v>
      </c>
      <c r="B22" s="7" t="s">
        <v>510</v>
      </c>
      <c r="C22" s="67">
        <v>46.0</v>
      </c>
      <c r="D22" s="79" t="b">
        <v>1</v>
      </c>
      <c r="E22" s="77">
        <v>1.623444181E9</v>
      </c>
      <c r="F22" s="68">
        <f>IFERROR(__xludf.DUMMYFUNCTION("INDEX(SPLIT(E22, char(10)), 0, 1)/86400+date(1970,1,1)"),44358.86320601852)</f>
        <v>44358.86321</v>
      </c>
      <c r="G22" s="46" t="s">
        <v>637</v>
      </c>
      <c r="H22" s="46" t="s">
        <v>638</v>
      </c>
      <c r="I22" s="46" t="s">
        <v>11</v>
      </c>
    </row>
    <row r="23">
      <c r="A23" s="7" t="s">
        <v>5</v>
      </c>
      <c r="B23" s="7" t="s">
        <v>513</v>
      </c>
      <c r="C23" s="67">
        <v>46.0</v>
      </c>
      <c r="D23" s="79" t="b">
        <v>0</v>
      </c>
      <c r="E23" s="77">
        <v>1.623444632E9</v>
      </c>
      <c r="F23" s="68">
        <f>IFERROR(__xludf.DUMMYFUNCTION("INDEX(SPLIT(E23, char(10)), 0, 1)/86400+date(1970,1,1)"),44358.868425925924)</f>
        <v>44358.86843</v>
      </c>
      <c r="G23" s="46" t="s">
        <v>639</v>
      </c>
      <c r="H23" s="46" t="s">
        <v>640</v>
      </c>
      <c r="I23" s="46" t="s">
        <v>14</v>
      </c>
    </row>
    <row r="24">
      <c r="A24" s="7" t="s">
        <v>141</v>
      </c>
      <c r="B24" s="7" t="s">
        <v>516</v>
      </c>
      <c r="C24" s="67">
        <v>53.0</v>
      </c>
      <c r="D24" s="79" t="b">
        <v>1</v>
      </c>
      <c r="E24" s="77">
        <v>1.623444751E9</v>
      </c>
      <c r="F24" s="68">
        <f>IFERROR(__xludf.DUMMYFUNCTION("INDEX(SPLIT(E24, char(10)), 0, 1)/86400+date(1970,1,1)"),44358.86980324074)</f>
        <v>44358.8698</v>
      </c>
      <c r="G24" s="46" t="s">
        <v>641</v>
      </c>
      <c r="H24" s="46" t="s">
        <v>642</v>
      </c>
      <c r="I24" s="46" t="s">
        <v>12</v>
      </c>
    </row>
    <row r="25">
      <c r="A25" s="7" t="s">
        <v>5</v>
      </c>
      <c r="B25" s="71" t="s">
        <v>519</v>
      </c>
      <c r="C25" s="67">
        <v>64.0</v>
      </c>
      <c r="D25" s="79" t="b">
        <v>0</v>
      </c>
      <c r="E25" s="77"/>
      <c r="F25" s="68"/>
      <c r="G25" s="46"/>
      <c r="H25" s="46"/>
      <c r="I25" s="7"/>
    </row>
    <row r="26">
      <c r="A26" s="7" t="s">
        <v>5</v>
      </c>
      <c r="B26" s="71" t="s">
        <v>522</v>
      </c>
      <c r="C26" s="67">
        <v>65.0</v>
      </c>
      <c r="D26" s="79" t="b">
        <v>0</v>
      </c>
      <c r="E26" s="67"/>
      <c r="F26" s="68"/>
      <c r="G26" s="7"/>
      <c r="H26" s="46"/>
      <c r="I26" s="7"/>
    </row>
    <row r="27">
      <c r="A27" s="7" t="s">
        <v>141</v>
      </c>
      <c r="B27" s="71" t="s">
        <v>525</v>
      </c>
      <c r="C27" s="67">
        <v>66.0</v>
      </c>
      <c r="D27" s="79" t="b">
        <v>1</v>
      </c>
      <c r="E27" s="67"/>
      <c r="F27" s="68"/>
      <c r="G27" s="7"/>
      <c r="H27" s="46"/>
      <c r="I27" s="7"/>
    </row>
    <row r="28">
      <c r="A28" s="7" t="s">
        <v>5</v>
      </c>
      <c r="B28" s="71" t="s">
        <v>528</v>
      </c>
      <c r="C28" s="67">
        <v>74.0</v>
      </c>
      <c r="D28" s="79" t="b">
        <v>1</v>
      </c>
      <c r="E28" s="67"/>
      <c r="F28" s="68"/>
      <c r="G28" s="7"/>
      <c r="H28" s="46"/>
      <c r="I28" s="7"/>
    </row>
    <row r="29">
      <c r="A29" s="7" t="s">
        <v>5</v>
      </c>
      <c r="B29" s="71" t="s">
        <v>531</v>
      </c>
      <c r="C29" s="67">
        <v>76.0</v>
      </c>
      <c r="D29" s="79" t="b">
        <v>0</v>
      </c>
      <c r="E29" s="67"/>
      <c r="F29" s="68"/>
      <c r="G29" s="7"/>
      <c r="H29" s="46"/>
      <c r="I29" s="7"/>
    </row>
    <row r="30">
      <c r="A30" s="7" t="s">
        <v>141</v>
      </c>
      <c r="B30" s="71" t="s">
        <v>534</v>
      </c>
      <c r="C30" s="67">
        <v>79.0</v>
      </c>
      <c r="D30" s="79" t="b">
        <v>1</v>
      </c>
      <c r="E30" s="67"/>
      <c r="F30" s="68"/>
      <c r="G30" s="7"/>
      <c r="H30" s="46"/>
      <c r="I30" s="7"/>
    </row>
    <row r="31">
      <c r="A31" s="7" t="s">
        <v>5</v>
      </c>
      <c r="B31" s="71" t="s">
        <v>537</v>
      </c>
      <c r="C31" s="67">
        <v>81.0</v>
      </c>
      <c r="D31" s="79" t="b">
        <v>1</v>
      </c>
      <c r="E31" s="67"/>
      <c r="F31" s="68"/>
      <c r="G31" s="7"/>
      <c r="H31" s="46"/>
      <c r="I31" s="7"/>
    </row>
    <row r="32">
      <c r="A32" s="7" t="s">
        <v>5</v>
      </c>
      <c r="B32" s="71" t="s">
        <v>540</v>
      </c>
      <c r="C32" s="67">
        <v>81.0</v>
      </c>
      <c r="D32" s="79" t="b">
        <v>1</v>
      </c>
      <c r="E32" s="67"/>
      <c r="F32" s="68"/>
      <c r="G32" s="7"/>
      <c r="H32" s="46"/>
      <c r="I32" s="7"/>
    </row>
    <row r="33">
      <c r="A33" s="7" t="s">
        <v>5</v>
      </c>
      <c r="B33" s="71" t="s">
        <v>543</v>
      </c>
      <c r="C33" s="67">
        <v>85.0</v>
      </c>
      <c r="D33" s="79" t="b">
        <v>0</v>
      </c>
      <c r="E33" s="67"/>
      <c r="F33" s="68"/>
      <c r="G33" s="7"/>
      <c r="H33" s="46"/>
      <c r="I33" s="7"/>
    </row>
    <row r="34">
      <c r="A34" s="7" t="s">
        <v>3</v>
      </c>
      <c r="B34" s="71" t="s">
        <v>546</v>
      </c>
      <c r="C34" s="67">
        <v>88.0</v>
      </c>
      <c r="D34" s="79" t="b">
        <v>0</v>
      </c>
      <c r="E34" s="67"/>
      <c r="F34" s="68"/>
      <c r="G34" s="7"/>
      <c r="H34" s="46"/>
      <c r="I34" s="7"/>
    </row>
    <row r="35">
      <c r="A35" s="7" t="s">
        <v>3</v>
      </c>
      <c r="B35" s="71" t="s">
        <v>549</v>
      </c>
      <c r="C35" s="67">
        <v>90.0</v>
      </c>
      <c r="D35" s="79" t="b">
        <v>0</v>
      </c>
      <c r="E35" s="67"/>
      <c r="F35" s="68"/>
      <c r="G35" s="7"/>
      <c r="H35" s="46"/>
      <c r="I35" s="7"/>
    </row>
    <row r="36">
      <c r="A36" s="7" t="s">
        <v>4</v>
      </c>
      <c r="B36" s="71" t="s">
        <v>195</v>
      </c>
      <c r="C36" s="67">
        <v>90.0</v>
      </c>
      <c r="D36" s="79" t="b">
        <v>0</v>
      </c>
      <c r="E36" s="67"/>
      <c r="F36" s="68"/>
      <c r="G36" s="7"/>
      <c r="H36" s="46"/>
      <c r="I36" s="7"/>
    </row>
    <row r="37">
      <c r="A37" s="5"/>
      <c r="B37" s="71"/>
      <c r="C37" s="25"/>
      <c r="D37" s="5"/>
      <c r="E37" s="67"/>
      <c r="F37" s="68"/>
      <c r="G37" s="7"/>
      <c r="H37" s="46"/>
      <c r="I37" s="7"/>
    </row>
    <row r="38">
      <c r="A38" s="46"/>
      <c r="B38" s="46"/>
      <c r="C38" s="77"/>
      <c r="D38" s="5"/>
      <c r="E38" s="75"/>
      <c r="F38" s="68"/>
      <c r="G38" s="5"/>
      <c r="H38" s="46"/>
      <c r="I38" s="5"/>
    </row>
    <row r="39">
      <c r="A39" s="46"/>
      <c r="B39" s="46"/>
      <c r="C39" s="77"/>
      <c r="D39" s="5"/>
      <c r="E39" s="75"/>
      <c r="F39" s="68"/>
      <c r="G39" s="5"/>
      <c r="H39" s="46"/>
      <c r="I39" s="5"/>
    </row>
    <row r="40">
      <c r="A40" s="46"/>
      <c r="B40" s="46"/>
      <c r="C40" s="77"/>
      <c r="D40" s="5"/>
      <c r="E40" s="75"/>
      <c r="F40" s="68"/>
      <c r="G40" s="5"/>
      <c r="H40" s="46"/>
      <c r="I40" s="5"/>
    </row>
    <row r="41">
      <c r="A41" s="46"/>
      <c r="B41" s="46"/>
      <c r="C41" s="77"/>
      <c r="D41" s="5"/>
      <c r="E41" s="75"/>
      <c r="F41" s="68"/>
      <c r="G41" s="5"/>
      <c r="H41" s="46"/>
      <c r="I41" s="5"/>
    </row>
    <row r="42">
      <c r="A42" s="46"/>
      <c r="B42" s="46"/>
      <c r="C42" s="77"/>
      <c r="D42" s="5"/>
      <c r="E42" s="75"/>
      <c r="F42" s="68"/>
      <c r="G42" s="5"/>
      <c r="H42" s="46"/>
      <c r="I42" s="5"/>
    </row>
    <row r="43">
      <c r="A43" s="46"/>
      <c r="B43" s="46"/>
      <c r="C43" s="46"/>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1" t="s">
        <v>99</v>
      </c>
      <c r="B1" s="65" t="s">
        <v>100</v>
      </c>
      <c r="C1" s="11" t="s">
        <v>101</v>
      </c>
      <c r="D1" s="11" t="s">
        <v>102</v>
      </c>
      <c r="E1" s="11" t="s">
        <v>103</v>
      </c>
      <c r="F1" s="11" t="s">
        <v>104</v>
      </c>
      <c r="G1" s="11" t="s">
        <v>105</v>
      </c>
      <c r="H1" s="11" t="s">
        <v>106</v>
      </c>
      <c r="I1" s="11" t="s">
        <v>107</v>
      </c>
    </row>
    <row r="2">
      <c r="A2" s="46" t="s">
        <v>93</v>
      </c>
      <c r="B2" s="46" t="s">
        <v>108</v>
      </c>
      <c r="C2" s="77">
        <v>0.0</v>
      </c>
      <c r="D2" s="82">
        <v>0.0</v>
      </c>
      <c r="E2" s="77">
        <v>1.623438057E9</v>
      </c>
      <c r="F2" s="78">
        <v>44358.79232638889</v>
      </c>
      <c r="G2" s="46" t="s">
        <v>643</v>
      </c>
      <c r="H2" s="46" t="s">
        <v>644</v>
      </c>
      <c r="I2" s="46" t="s">
        <v>14</v>
      </c>
    </row>
    <row r="3">
      <c r="A3" s="46" t="s">
        <v>11</v>
      </c>
      <c r="B3" s="46" t="s">
        <v>111</v>
      </c>
      <c r="C3" s="77">
        <v>3.0</v>
      </c>
      <c r="D3" s="82">
        <v>0.0833</v>
      </c>
      <c r="E3" s="77">
        <v>1.623438166E9</v>
      </c>
      <c r="F3" s="78">
        <v>44358.793587962966</v>
      </c>
      <c r="G3" s="46" t="s">
        <v>645</v>
      </c>
      <c r="H3" s="46" t="s">
        <v>646</v>
      </c>
      <c r="I3" s="46" t="s">
        <v>12</v>
      </c>
    </row>
    <row r="4">
      <c r="A4" s="46" t="s">
        <v>12</v>
      </c>
      <c r="B4" s="46" t="s">
        <v>114</v>
      </c>
      <c r="C4" s="77">
        <v>9.0</v>
      </c>
      <c r="D4" s="82">
        <v>0.25</v>
      </c>
      <c r="E4" s="77">
        <v>1.623438752E9</v>
      </c>
      <c r="F4" s="78">
        <v>44358.80037037037</v>
      </c>
      <c r="G4" s="46" t="s">
        <v>647</v>
      </c>
      <c r="H4" s="46" t="s">
        <v>648</v>
      </c>
      <c r="I4" s="46" t="s">
        <v>11</v>
      </c>
    </row>
    <row r="5">
      <c r="A5" s="46" t="s">
        <v>13</v>
      </c>
      <c r="B5" s="46" t="s">
        <v>117</v>
      </c>
      <c r="C5" s="77">
        <v>7.0</v>
      </c>
      <c r="D5" s="82">
        <v>0.1944</v>
      </c>
      <c r="E5" s="77">
        <v>1.623439087E9</v>
      </c>
      <c r="F5" s="78">
        <v>44358.804247685184</v>
      </c>
      <c r="G5" s="46" t="s">
        <v>649</v>
      </c>
      <c r="H5" s="46" t="s">
        <v>650</v>
      </c>
      <c r="I5" s="46" t="s">
        <v>14</v>
      </c>
    </row>
    <row r="6">
      <c r="A6" s="46" t="s">
        <v>14</v>
      </c>
      <c r="B6" s="46" t="s">
        <v>120</v>
      </c>
      <c r="C6" s="77">
        <v>17.0</v>
      </c>
      <c r="D6" s="82">
        <v>0.4722</v>
      </c>
      <c r="E6" s="77">
        <v>1.623439352E9</v>
      </c>
      <c r="F6" s="78">
        <v>44358.80731481482</v>
      </c>
      <c r="G6" s="46" t="s">
        <v>651</v>
      </c>
      <c r="H6" s="46" t="s">
        <v>652</v>
      </c>
      <c r="I6" s="46" t="s">
        <v>14</v>
      </c>
    </row>
    <row r="7">
      <c r="A7" s="5"/>
      <c r="B7" s="46" t="s">
        <v>10</v>
      </c>
      <c r="C7" s="81">
        <v>36.0</v>
      </c>
      <c r="D7" s="92">
        <v>1.0</v>
      </c>
      <c r="E7" s="77">
        <v>1.623439723E9</v>
      </c>
      <c r="F7" s="78">
        <v>44358.8116087963</v>
      </c>
      <c r="G7" s="46" t="s">
        <v>653</v>
      </c>
      <c r="H7" s="46" t="s">
        <v>654</v>
      </c>
      <c r="I7" s="46" t="s">
        <v>14</v>
      </c>
    </row>
    <row r="8">
      <c r="A8" s="71"/>
      <c r="B8" s="46" t="s">
        <v>15</v>
      </c>
      <c r="C8" s="77">
        <v>24.0</v>
      </c>
      <c r="D8" s="82">
        <v>0.6667</v>
      </c>
      <c r="E8" s="77">
        <v>1.623439875E9</v>
      </c>
      <c r="F8" s="78">
        <v>44358.813368055555</v>
      </c>
      <c r="G8" s="46" t="s">
        <v>562</v>
      </c>
      <c r="H8" s="46" t="s">
        <v>655</v>
      </c>
      <c r="I8" s="46" t="s">
        <v>14</v>
      </c>
    </row>
    <row r="9">
      <c r="A9" s="71"/>
      <c r="B9" s="46" t="s">
        <v>127</v>
      </c>
      <c r="C9" s="77">
        <v>53.0</v>
      </c>
      <c r="D9" s="82">
        <v>0.6667</v>
      </c>
      <c r="E9" s="77">
        <v>1.623439992E9</v>
      </c>
      <c r="F9" s="78">
        <v>44358.814722222225</v>
      </c>
      <c r="G9" s="46" t="s">
        <v>656</v>
      </c>
      <c r="H9" s="46" t="s">
        <v>657</v>
      </c>
      <c r="I9" s="46" t="s">
        <v>11</v>
      </c>
    </row>
    <row r="10">
      <c r="A10" s="71"/>
      <c r="B10" s="71"/>
      <c r="C10" s="71"/>
      <c r="D10" s="71"/>
      <c r="E10" s="77">
        <v>1.623440207E9</v>
      </c>
      <c r="F10" s="78">
        <v>44358.81721064815</v>
      </c>
      <c r="G10" s="46" t="s">
        <v>658</v>
      </c>
      <c r="H10" s="46" t="s">
        <v>659</v>
      </c>
      <c r="I10" s="46" t="s">
        <v>14</v>
      </c>
    </row>
    <row r="11">
      <c r="A11" s="71"/>
      <c r="B11" s="71"/>
      <c r="C11" s="71"/>
      <c r="D11" s="71"/>
      <c r="E11" s="77">
        <v>1.623440639E9</v>
      </c>
      <c r="F11" s="78">
        <v>44358.82221064815</v>
      </c>
      <c r="G11" s="46" t="s">
        <v>660</v>
      </c>
      <c r="H11" s="46" t="s">
        <v>661</v>
      </c>
      <c r="I11" s="46" t="s">
        <v>14</v>
      </c>
    </row>
    <row r="12">
      <c r="A12" s="11" t="s">
        <v>134</v>
      </c>
      <c r="B12" s="80" t="s">
        <v>662</v>
      </c>
      <c r="C12" s="71"/>
      <c r="D12" s="71"/>
      <c r="E12" s="77">
        <v>1.623440745E9</v>
      </c>
      <c r="F12" s="78">
        <v>44358.8234375</v>
      </c>
      <c r="G12" s="46" t="s">
        <v>663</v>
      </c>
      <c r="H12" s="46" t="s">
        <v>664</v>
      </c>
      <c r="I12" s="46" t="s">
        <v>12</v>
      </c>
    </row>
    <row r="13">
      <c r="A13" s="11" t="s">
        <v>138</v>
      </c>
      <c r="B13" s="71"/>
      <c r="C13" s="11" t="s">
        <v>101</v>
      </c>
      <c r="D13" s="11" t="s">
        <v>102</v>
      </c>
      <c r="E13" s="77">
        <v>1.623440837E9</v>
      </c>
      <c r="F13" s="78">
        <v>44358.82450231481</v>
      </c>
      <c r="G13" s="46" t="s">
        <v>665</v>
      </c>
      <c r="H13" s="46" t="s">
        <v>666</v>
      </c>
      <c r="I13" s="46" t="s">
        <v>12</v>
      </c>
    </row>
    <row r="14">
      <c r="A14" s="46" t="s">
        <v>141</v>
      </c>
      <c r="B14" s="46" t="s">
        <v>142</v>
      </c>
      <c r="C14" s="81">
        <v>3.0</v>
      </c>
      <c r="D14" s="82">
        <v>1.0</v>
      </c>
      <c r="E14" s="77">
        <v>1.623440988E9</v>
      </c>
      <c r="F14" s="78">
        <v>44358.82625</v>
      </c>
      <c r="G14" s="46" t="s">
        <v>667</v>
      </c>
      <c r="H14" s="46" t="s">
        <v>668</v>
      </c>
      <c r="I14" s="46" t="s">
        <v>12</v>
      </c>
    </row>
    <row r="15">
      <c r="A15" s="46" t="s">
        <v>3</v>
      </c>
      <c r="B15" s="46" t="s">
        <v>145</v>
      </c>
      <c r="C15" s="81">
        <v>2.0</v>
      </c>
      <c r="D15" s="82">
        <v>0.0</v>
      </c>
      <c r="E15" s="77">
        <v>1.623441669E9</v>
      </c>
      <c r="F15" s="78">
        <v>44358.834131944444</v>
      </c>
      <c r="G15" s="46" t="s">
        <v>669</v>
      </c>
      <c r="H15" s="46" t="s">
        <v>670</v>
      </c>
      <c r="I15" s="46" t="s">
        <v>12</v>
      </c>
    </row>
    <row r="16">
      <c r="A16" s="46" t="s">
        <v>4</v>
      </c>
      <c r="B16" s="46" t="s">
        <v>148</v>
      </c>
      <c r="C16" s="81">
        <v>4.0</v>
      </c>
      <c r="D16" s="82">
        <v>0.25</v>
      </c>
      <c r="E16" s="77">
        <v>1.623441783E9</v>
      </c>
      <c r="F16" s="78">
        <v>44358.83545138889</v>
      </c>
      <c r="G16" s="46" t="s">
        <v>671</v>
      </c>
      <c r="H16" s="46" t="s">
        <v>672</v>
      </c>
      <c r="I16" s="46" t="s">
        <v>13</v>
      </c>
    </row>
    <row r="17">
      <c r="A17" s="46" t="s">
        <v>5</v>
      </c>
      <c r="B17" s="46" t="s">
        <v>151</v>
      </c>
      <c r="C17" s="81">
        <v>9.0</v>
      </c>
      <c r="D17" s="82">
        <v>0.5556</v>
      </c>
      <c r="E17" s="77">
        <v>1.623441902E9</v>
      </c>
      <c r="F17" s="78">
        <v>44358.8368287037</v>
      </c>
      <c r="G17" s="46" t="s">
        <v>673</v>
      </c>
      <c r="H17" s="46" t="s">
        <v>674</v>
      </c>
      <c r="I17" s="46" t="s">
        <v>14</v>
      </c>
    </row>
    <row r="18">
      <c r="A18" s="71"/>
      <c r="B18" s="11" t="s">
        <v>6</v>
      </c>
      <c r="C18" s="81">
        <v>18.0</v>
      </c>
      <c r="D18" s="82">
        <v>0.5</v>
      </c>
      <c r="E18" s="77">
        <v>1.623442211E9</v>
      </c>
      <c r="F18" s="78">
        <v>44358.84040509259</v>
      </c>
      <c r="G18" s="46" t="s">
        <v>675</v>
      </c>
      <c r="H18" s="46" t="s">
        <v>676</v>
      </c>
      <c r="I18" s="46" t="s">
        <v>13</v>
      </c>
    </row>
    <row r="19">
      <c r="A19" s="46" t="s">
        <v>4</v>
      </c>
      <c r="B19" s="46" t="s">
        <v>161</v>
      </c>
      <c r="C19" s="77">
        <v>1.0</v>
      </c>
      <c r="D19" s="79" t="b">
        <v>0</v>
      </c>
      <c r="E19" s="77">
        <v>1.623442308E9</v>
      </c>
      <c r="F19" s="78">
        <v>44358.841527777775</v>
      </c>
      <c r="G19" s="46" t="s">
        <v>677</v>
      </c>
      <c r="H19" s="46" t="s">
        <v>678</v>
      </c>
      <c r="I19" s="46" t="s">
        <v>14</v>
      </c>
    </row>
    <row r="20">
      <c r="A20" s="46" t="s">
        <v>4</v>
      </c>
      <c r="B20" s="46" t="s">
        <v>167</v>
      </c>
      <c r="C20" s="77">
        <v>45.0</v>
      </c>
      <c r="D20" s="79" t="b">
        <v>0</v>
      </c>
      <c r="E20" s="77">
        <v>1.623442422E9</v>
      </c>
      <c r="F20" s="78">
        <v>44358.84284722222</v>
      </c>
      <c r="G20" s="46" t="s">
        <v>679</v>
      </c>
      <c r="H20" s="46" t="s">
        <v>680</v>
      </c>
      <c r="I20" s="46" t="s">
        <v>14</v>
      </c>
    </row>
    <row r="21">
      <c r="A21" s="46" t="s">
        <v>4</v>
      </c>
      <c r="B21" s="46" t="s">
        <v>170</v>
      </c>
      <c r="C21" s="77">
        <v>45.0</v>
      </c>
      <c r="D21" s="79" t="b">
        <v>0</v>
      </c>
      <c r="E21" s="77">
        <v>1.623442547E9</v>
      </c>
      <c r="F21" s="78">
        <v>44358.844293981485</v>
      </c>
      <c r="G21" s="46" t="s">
        <v>681</v>
      </c>
      <c r="H21" s="46" t="s">
        <v>682</v>
      </c>
      <c r="I21" s="46" t="s">
        <v>14</v>
      </c>
    </row>
    <row r="22">
      <c r="A22" s="46" t="s">
        <v>5</v>
      </c>
      <c r="B22" s="46" t="s">
        <v>510</v>
      </c>
      <c r="C22" s="77">
        <v>46.0</v>
      </c>
      <c r="D22" s="79" t="b">
        <v>1</v>
      </c>
      <c r="E22" s="77">
        <v>1.623442652E9</v>
      </c>
      <c r="F22" s="78">
        <v>44358.845509259256</v>
      </c>
      <c r="G22" s="46" t="s">
        <v>683</v>
      </c>
      <c r="H22" s="46" t="s">
        <v>684</v>
      </c>
      <c r="I22" s="46" t="s">
        <v>12</v>
      </c>
    </row>
    <row r="23">
      <c r="A23" s="46" t="s">
        <v>5</v>
      </c>
      <c r="B23" s="46" t="s">
        <v>513</v>
      </c>
      <c r="C23" s="77">
        <v>46.0</v>
      </c>
      <c r="D23" s="79" t="b">
        <v>1</v>
      </c>
      <c r="E23" s="77">
        <v>1.623442848E9</v>
      </c>
      <c r="F23" s="78">
        <v>44358.84777777778</v>
      </c>
      <c r="G23" s="46" t="s">
        <v>685</v>
      </c>
      <c r="H23" s="46" t="s">
        <v>686</v>
      </c>
      <c r="I23" s="46" t="s">
        <v>14</v>
      </c>
    </row>
    <row r="24">
      <c r="A24" s="46" t="s">
        <v>141</v>
      </c>
      <c r="B24" s="46" t="s">
        <v>516</v>
      </c>
      <c r="C24" s="77">
        <v>53.0</v>
      </c>
      <c r="D24" s="79" t="b">
        <v>1</v>
      </c>
      <c r="E24" s="77">
        <v>1.623442946E9</v>
      </c>
      <c r="F24" s="78">
        <v>44358.848912037036</v>
      </c>
      <c r="G24" s="46" t="s">
        <v>687</v>
      </c>
      <c r="H24" s="46" t="s">
        <v>688</v>
      </c>
      <c r="I24" s="46" t="s">
        <v>12</v>
      </c>
    </row>
    <row r="25">
      <c r="A25" s="46" t="s">
        <v>5</v>
      </c>
      <c r="B25" s="46" t="s">
        <v>519</v>
      </c>
      <c r="C25" s="77">
        <v>64.0</v>
      </c>
      <c r="D25" s="79" t="b">
        <v>0</v>
      </c>
      <c r="E25" s="77">
        <v>1.623443042E9</v>
      </c>
      <c r="F25" s="78">
        <v>44358.850023148145</v>
      </c>
      <c r="G25" s="46" t="s">
        <v>689</v>
      </c>
      <c r="H25" s="46" t="s">
        <v>690</v>
      </c>
      <c r="I25" s="46" t="s">
        <v>13</v>
      </c>
    </row>
    <row r="26">
      <c r="A26" s="46" t="s">
        <v>5</v>
      </c>
      <c r="B26" s="46" t="s">
        <v>522</v>
      </c>
      <c r="C26" s="77">
        <v>65.0</v>
      </c>
      <c r="D26" s="79" t="b">
        <v>0</v>
      </c>
      <c r="E26" s="77">
        <v>1.623443202E9</v>
      </c>
      <c r="F26" s="78">
        <v>44358.851875</v>
      </c>
      <c r="G26" s="46" t="s">
        <v>691</v>
      </c>
      <c r="H26" s="46" t="s">
        <v>692</v>
      </c>
      <c r="I26" s="46" t="s">
        <v>12</v>
      </c>
    </row>
    <row r="27">
      <c r="A27" s="46" t="s">
        <v>141</v>
      </c>
      <c r="B27" s="46" t="s">
        <v>525</v>
      </c>
      <c r="C27" s="77">
        <v>66.0</v>
      </c>
      <c r="D27" s="79" t="b">
        <v>1</v>
      </c>
      <c r="E27" s="77">
        <v>1.623443403E9</v>
      </c>
      <c r="F27" s="78">
        <v>44358.85420138889</v>
      </c>
      <c r="G27" s="46" t="s">
        <v>693</v>
      </c>
      <c r="H27" s="46" t="s">
        <v>694</v>
      </c>
      <c r="I27" s="46" t="s">
        <v>14</v>
      </c>
    </row>
    <row r="28">
      <c r="A28" s="46" t="s">
        <v>5</v>
      </c>
      <c r="B28" s="46" t="s">
        <v>528</v>
      </c>
      <c r="C28" s="77">
        <v>74.0</v>
      </c>
      <c r="D28" s="79" t="b">
        <v>1</v>
      </c>
      <c r="E28" s="77">
        <v>1.623443507E9</v>
      </c>
      <c r="F28" s="78">
        <v>44358.855405092596</v>
      </c>
      <c r="G28" s="46" t="s">
        <v>695</v>
      </c>
      <c r="H28" s="46" t="s">
        <v>696</v>
      </c>
      <c r="I28" s="46" t="s">
        <v>13</v>
      </c>
    </row>
    <row r="29">
      <c r="A29" s="46" t="s">
        <v>5</v>
      </c>
      <c r="B29" s="46" t="s">
        <v>531</v>
      </c>
      <c r="C29" s="77">
        <v>76.0</v>
      </c>
      <c r="D29" s="79" t="b">
        <v>0</v>
      </c>
      <c r="E29" s="77">
        <v>1.623443638E9</v>
      </c>
      <c r="F29" s="78">
        <v>44358.8569212963</v>
      </c>
      <c r="G29" s="46" t="s">
        <v>697</v>
      </c>
      <c r="H29" s="46" t="s">
        <v>698</v>
      </c>
      <c r="I29" s="46" t="s">
        <v>14</v>
      </c>
    </row>
    <row r="30">
      <c r="A30" s="46" t="s">
        <v>141</v>
      </c>
      <c r="B30" s="46" t="s">
        <v>534</v>
      </c>
      <c r="C30" s="77">
        <v>79.0</v>
      </c>
      <c r="D30" s="79" t="b">
        <v>1</v>
      </c>
      <c r="E30" s="77">
        <v>1.623443743E9</v>
      </c>
      <c r="F30" s="78">
        <v>44358.858136574076</v>
      </c>
      <c r="G30" s="46" t="s">
        <v>699</v>
      </c>
      <c r="H30" s="46" t="s">
        <v>700</v>
      </c>
      <c r="I30" s="46" t="s">
        <v>13</v>
      </c>
    </row>
    <row r="31">
      <c r="A31" s="46" t="s">
        <v>5</v>
      </c>
      <c r="B31" s="46" t="s">
        <v>537</v>
      </c>
      <c r="C31" s="77">
        <v>81.0</v>
      </c>
      <c r="D31" s="79" t="b">
        <v>1</v>
      </c>
      <c r="E31" s="77">
        <v>1.623443836E9</v>
      </c>
      <c r="F31" s="78">
        <v>44358.85921296296</v>
      </c>
      <c r="G31" s="46" t="s">
        <v>701</v>
      </c>
      <c r="H31" s="46" t="s">
        <v>702</v>
      </c>
      <c r="I31" s="46" t="s">
        <v>14</v>
      </c>
    </row>
    <row r="32">
      <c r="A32" s="46" t="s">
        <v>5</v>
      </c>
      <c r="B32" s="46" t="s">
        <v>540</v>
      </c>
      <c r="C32" s="77">
        <v>81.0</v>
      </c>
      <c r="D32" s="79" t="b">
        <v>1</v>
      </c>
      <c r="E32" s="77">
        <v>1.623443966E9</v>
      </c>
      <c r="F32" s="78">
        <v>44358.86071759259</v>
      </c>
      <c r="G32" s="46" t="s">
        <v>703</v>
      </c>
      <c r="H32" s="46" t="s">
        <v>704</v>
      </c>
      <c r="I32" s="46" t="s">
        <v>13</v>
      </c>
    </row>
    <row r="33">
      <c r="A33" s="46" t="s">
        <v>5</v>
      </c>
      <c r="B33" s="46" t="s">
        <v>543</v>
      </c>
      <c r="C33" s="77">
        <v>85.0</v>
      </c>
      <c r="D33" s="79" t="b">
        <v>0</v>
      </c>
      <c r="E33" s="77">
        <v>1.62344416E9</v>
      </c>
      <c r="F33" s="78">
        <v>44358.862962962965</v>
      </c>
      <c r="G33" s="46" t="s">
        <v>705</v>
      </c>
      <c r="H33" s="46" t="s">
        <v>706</v>
      </c>
      <c r="I33" s="46" t="s">
        <v>14</v>
      </c>
    </row>
    <row r="34">
      <c r="A34" s="46" t="s">
        <v>3</v>
      </c>
      <c r="B34" s="46" t="s">
        <v>546</v>
      </c>
      <c r="C34" s="77">
        <v>88.0</v>
      </c>
      <c r="D34" s="79" t="b">
        <v>0</v>
      </c>
      <c r="E34" s="77">
        <v>1.623444331E9</v>
      </c>
      <c r="F34" s="78">
        <v>44358.86494212963</v>
      </c>
      <c r="G34" s="46" t="s">
        <v>707</v>
      </c>
      <c r="H34" s="46" t="s">
        <v>708</v>
      </c>
      <c r="I34" s="46" t="s">
        <v>12</v>
      </c>
    </row>
    <row r="35">
      <c r="A35" s="46" t="s">
        <v>3</v>
      </c>
      <c r="B35" s="46" t="s">
        <v>549</v>
      </c>
      <c r="C35" s="77">
        <v>90.0</v>
      </c>
      <c r="D35" s="79" t="b">
        <v>0</v>
      </c>
      <c r="E35" s="77">
        <v>1.623444488E9</v>
      </c>
      <c r="F35" s="78">
        <v>44358.86675925926</v>
      </c>
      <c r="G35" s="46" t="s">
        <v>709</v>
      </c>
      <c r="H35" s="46" t="s">
        <v>710</v>
      </c>
      <c r="I35" s="46" t="s">
        <v>11</v>
      </c>
    </row>
    <row r="36">
      <c r="A36" s="46" t="s">
        <v>4</v>
      </c>
      <c r="B36" s="46" t="s">
        <v>195</v>
      </c>
      <c r="C36" s="77">
        <v>90.0</v>
      </c>
      <c r="D36" s="79" t="b">
        <v>1</v>
      </c>
      <c r="E36" s="77">
        <v>1.623444593E9</v>
      </c>
      <c r="F36" s="78">
        <v>44358.86797453704</v>
      </c>
      <c r="G36" s="46" t="s">
        <v>711</v>
      </c>
      <c r="H36" s="46" t="s">
        <v>712</v>
      </c>
      <c r="I36" s="46" t="s">
        <v>14</v>
      </c>
    </row>
    <row r="37">
      <c r="A37" s="5"/>
      <c r="B37" s="71"/>
      <c r="C37" s="25"/>
      <c r="D37" s="5"/>
      <c r="E37" s="77">
        <v>1.623444836E9</v>
      </c>
      <c r="F37" s="78">
        <v>44358.870787037034</v>
      </c>
      <c r="G37" s="46" t="s">
        <v>713</v>
      </c>
      <c r="H37" s="46" t="s">
        <v>714</v>
      </c>
      <c r="I37" s="46" t="s">
        <v>13</v>
      </c>
    </row>
    <row r="38">
      <c r="A38" s="5"/>
      <c r="B38" s="71"/>
      <c r="C38" s="25"/>
      <c r="D38" s="5"/>
      <c r="E38" s="75"/>
      <c r="F38" s="68"/>
      <c r="G38" s="5"/>
      <c r="H38" s="5"/>
      <c r="I38" s="5"/>
    </row>
    <row r="39">
      <c r="A39" s="5"/>
      <c r="B39" s="71"/>
      <c r="C39" s="25"/>
      <c r="D39" s="5"/>
      <c r="E39" s="75"/>
      <c r="F39" s="68"/>
      <c r="G39" s="5"/>
      <c r="H39" s="5"/>
      <c r="I39" s="5"/>
    </row>
    <row r="40">
      <c r="A40" s="5"/>
      <c r="B40" s="71"/>
      <c r="C40" s="25"/>
      <c r="D40" s="5"/>
      <c r="E40" s="75"/>
      <c r="F40" s="68"/>
      <c r="G40" s="5"/>
      <c r="H40" s="5"/>
      <c r="I40" s="5"/>
    </row>
    <row r="41">
      <c r="A41" s="5"/>
      <c r="B41" s="71"/>
      <c r="C41" s="25"/>
      <c r="D41" s="5"/>
      <c r="E41" s="75"/>
      <c r="F41" s="68"/>
      <c r="G41" s="5"/>
      <c r="H41" s="5"/>
      <c r="I41" s="5"/>
    </row>
    <row r="42">
      <c r="A42" s="5"/>
      <c r="B42" s="71"/>
      <c r="C42" s="25"/>
      <c r="D42" s="5"/>
      <c r="E42" s="75"/>
      <c r="F42" s="68"/>
      <c r="G42" s="5"/>
      <c r="H42" s="5"/>
      <c r="I42" s="5"/>
    </row>
    <row r="43">
      <c r="A43" s="5"/>
      <c r="B43" s="5"/>
      <c r="C43" s="5"/>
      <c r="D43" s="5"/>
      <c r="E43" s="25"/>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3</v>
      </c>
      <c r="D2" s="17">
        <f t="shared" ref="D2:D6" si="2">C2/COUNTA(I$2:I1000)</f>
        <v>0.125</v>
      </c>
      <c r="E2" s="83">
        <v>1.623438029E9</v>
      </c>
      <c r="F2" s="68">
        <f>IFERROR(__xludf.DUMMYFUNCTION("INDEX(SPLIT(E2, char(10)), 0, 1)/86400+date(1970,1,1)"),44358.79200231482)</f>
        <v>44358.792</v>
      </c>
      <c r="G2" s="84" t="s">
        <v>715</v>
      </c>
      <c r="H2" s="84" t="s">
        <v>716</v>
      </c>
      <c r="I2" s="46" t="s">
        <v>14</v>
      </c>
    </row>
    <row r="3">
      <c r="A3" s="5" t="s">
        <v>11</v>
      </c>
      <c r="B3" s="5" t="s">
        <v>111</v>
      </c>
      <c r="C3" s="25">
        <f t="shared" si="1"/>
        <v>1</v>
      </c>
      <c r="D3" s="17">
        <f t="shared" si="2"/>
        <v>0.04166666667</v>
      </c>
      <c r="E3" s="83">
        <v>1.623439125E9</v>
      </c>
      <c r="F3" s="68">
        <f>IFERROR(__xludf.DUMMYFUNCTION("INDEX(SPLIT(E3, char(10)), 0, 1)/86400+date(1970,1,1)"),44358.8046875)</f>
        <v>44358.80469</v>
      </c>
      <c r="G3" s="84" t="s">
        <v>717</v>
      </c>
      <c r="H3" s="84" t="s">
        <v>718</v>
      </c>
      <c r="I3" s="46" t="s">
        <v>14</v>
      </c>
    </row>
    <row r="4">
      <c r="A4" s="5" t="s">
        <v>12</v>
      </c>
      <c r="B4" s="5" t="s">
        <v>114</v>
      </c>
      <c r="C4" s="25">
        <f t="shared" si="1"/>
        <v>4</v>
      </c>
      <c r="D4" s="17">
        <f t="shared" si="2"/>
        <v>0.1666666667</v>
      </c>
      <c r="E4" s="83">
        <v>1.623439359E9</v>
      </c>
      <c r="F4" s="68">
        <f>IFERROR(__xludf.DUMMYFUNCTION("INDEX(SPLIT(E4, char(10)), 0, 1)/86400+date(1970,1,1)"),44358.80739583333)</f>
        <v>44358.8074</v>
      </c>
      <c r="G4" s="84" t="s">
        <v>719</v>
      </c>
      <c r="H4" s="84" t="s">
        <v>720</v>
      </c>
      <c r="I4" s="46" t="s">
        <v>14</v>
      </c>
    </row>
    <row r="5">
      <c r="A5" s="5" t="s">
        <v>13</v>
      </c>
      <c r="B5" s="5" t="s">
        <v>117</v>
      </c>
      <c r="C5" s="25">
        <f t="shared" si="1"/>
        <v>7</v>
      </c>
      <c r="D5" s="17">
        <f t="shared" si="2"/>
        <v>0.2916666667</v>
      </c>
      <c r="E5" s="83">
        <v>1.623440415E9</v>
      </c>
      <c r="F5" s="68">
        <f>IFERROR(__xludf.DUMMYFUNCTION("INDEX(SPLIT(E5, char(10)), 0, 1)/86400+date(1970,1,1)"),44358.81961805555)</f>
        <v>44358.81962</v>
      </c>
      <c r="G5" s="84" t="s">
        <v>721</v>
      </c>
      <c r="H5" s="84" t="s">
        <v>722</v>
      </c>
      <c r="I5" s="46" t="s">
        <v>11</v>
      </c>
    </row>
    <row r="6">
      <c r="A6" s="5" t="s">
        <v>14</v>
      </c>
      <c r="B6" s="5" t="s">
        <v>120</v>
      </c>
      <c r="C6" s="25">
        <f t="shared" si="1"/>
        <v>9</v>
      </c>
      <c r="D6" s="17">
        <f t="shared" si="2"/>
        <v>0.375</v>
      </c>
      <c r="E6" s="83">
        <v>1.623440731E9</v>
      </c>
      <c r="F6" s="68">
        <f>IFERROR(__xludf.DUMMYFUNCTION("INDEX(SPLIT(E6, char(10)), 0, 1)/86400+date(1970,1,1)"),44358.823275462964)</f>
        <v>44358.82328</v>
      </c>
      <c r="G6" s="84" t="s">
        <v>723</v>
      </c>
      <c r="H6" s="84" t="s">
        <v>724</v>
      </c>
      <c r="I6" s="46" t="s">
        <v>14</v>
      </c>
    </row>
    <row r="7">
      <c r="A7" s="5"/>
      <c r="B7" s="5" t="s">
        <v>10</v>
      </c>
      <c r="C7" s="23">
        <f t="shared" ref="C7:D7" si="3">SUM(C2:C6)</f>
        <v>24</v>
      </c>
      <c r="D7" s="70">
        <f t="shared" si="3"/>
        <v>1</v>
      </c>
      <c r="E7" s="83">
        <v>1.623440972E9</v>
      </c>
      <c r="F7" s="68">
        <f>IFERROR(__xludf.DUMMYFUNCTION("INDEX(SPLIT(E7, char(10)), 0, 1)/86400+date(1970,1,1)"),44358.82606481481)</f>
        <v>44358.82606</v>
      </c>
      <c r="G7" s="84" t="s">
        <v>725</v>
      </c>
      <c r="H7" s="84" t="s">
        <v>726</v>
      </c>
      <c r="I7" s="46" t="s">
        <v>12</v>
      </c>
    </row>
    <row r="8">
      <c r="A8" s="71"/>
      <c r="B8" s="5" t="s">
        <v>15</v>
      </c>
      <c r="C8" s="25">
        <f t="shared" ref="C8:D8" si="4">SUM(C5:C6)</f>
        <v>16</v>
      </c>
      <c r="D8" s="17">
        <f t="shared" si="4"/>
        <v>0.6666666667</v>
      </c>
      <c r="E8" s="83">
        <v>1.623441086E9</v>
      </c>
      <c r="F8" s="68">
        <f>IFERROR(__xludf.DUMMYFUNCTION("INDEX(SPLIT(E8, char(10)), 0, 1)/86400+date(1970,1,1)"),44358.82738425926)</f>
        <v>44358.82738</v>
      </c>
      <c r="G8" s="84" t="s">
        <v>727</v>
      </c>
      <c r="H8" s="84" t="s">
        <v>728</v>
      </c>
      <c r="I8" s="46" t="s">
        <v>14</v>
      </c>
    </row>
    <row r="9">
      <c r="A9" s="71"/>
      <c r="B9" s="5" t="s">
        <v>127</v>
      </c>
      <c r="C9" s="25">
        <f>C2+C5+C6</f>
        <v>19</v>
      </c>
      <c r="D9" s="17">
        <f>SUM(D5:D6) + D2</f>
        <v>0.7916666667</v>
      </c>
      <c r="E9" s="83">
        <v>1.62344178E9</v>
      </c>
      <c r="F9" s="68">
        <f>IFERROR(__xludf.DUMMYFUNCTION("INDEX(SPLIT(E9, char(10)), 0, 1)/86400+date(1970,1,1)"),44358.83541666667)</f>
        <v>44358.83542</v>
      </c>
      <c r="G9" s="84" t="s">
        <v>729</v>
      </c>
      <c r="H9" s="84" t="s">
        <v>730</v>
      </c>
      <c r="I9" s="46" t="s">
        <v>13</v>
      </c>
    </row>
    <row r="10">
      <c r="A10" s="71"/>
      <c r="B10" s="71"/>
      <c r="C10" s="71"/>
      <c r="D10" s="71"/>
      <c r="E10" s="83">
        <v>1.623442245E9</v>
      </c>
      <c r="F10" s="68">
        <f>IFERROR(__xludf.DUMMYFUNCTION("INDEX(SPLIT(E10, char(10)), 0, 1)/86400+date(1970,1,1)"),44358.84079861111)</f>
        <v>44358.8408</v>
      </c>
      <c r="G10" s="84" t="s">
        <v>731</v>
      </c>
      <c r="H10" s="84" t="s">
        <v>732</v>
      </c>
      <c r="I10" s="46" t="s">
        <v>13</v>
      </c>
    </row>
    <row r="11">
      <c r="A11" s="71"/>
      <c r="B11" s="71"/>
      <c r="C11" s="71"/>
      <c r="D11" s="71"/>
      <c r="E11" s="83">
        <v>1.62344234E9</v>
      </c>
      <c r="F11" s="68">
        <f>IFERROR(__xludf.DUMMYFUNCTION("INDEX(SPLIT(E11, char(10)), 0, 1)/86400+date(1970,1,1)"),44358.84189814815)</f>
        <v>44358.8419</v>
      </c>
      <c r="G11" s="84" t="s">
        <v>733</v>
      </c>
      <c r="H11" s="84" t="s">
        <v>734</v>
      </c>
      <c r="I11" s="46" t="s">
        <v>14</v>
      </c>
    </row>
    <row r="12">
      <c r="A12" s="13" t="s">
        <v>134</v>
      </c>
      <c r="B12" s="85" t="s">
        <v>735</v>
      </c>
      <c r="C12" s="71"/>
      <c r="D12" s="71"/>
      <c r="E12" s="83">
        <v>1.62344249E9</v>
      </c>
      <c r="F12" s="68">
        <f>IFERROR(__xludf.DUMMYFUNCTION("INDEX(SPLIT(E12, char(10)), 0, 1)/86400+date(1970,1,1)"),44358.84363425926)</f>
        <v>44358.84363</v>
      </c>
      <c r="G12" s="84" t="s">
        <v>736</v>
      </c>
      <c r="H12" s="84" t="s">
        <v>737</v>
      </c>
      <c r="I12" s="46" t="s">
        <v>14</v>
      </c>
    </row>
    <row r="13">
      <c r="A13" s="13" t="s">
        <v>138</v>
      </c>
      <c r="B13" s="71"/>
      <c r="C13" s="13" t="s">
        <v>101</v>
      </c>
      <c r="D13" s="13" t="s">
        <v>102</v>
      </c>
      <c r="E13" s="83">
        <v>1.623442862E9</v>
      </c>
      <c r="F13" s="68">
        <f>IFERROR(__xludf.DUMMYFUNCTION("INDEX(SPLIT(E13, char(10)), 0, 1)/86400+date(1970,1,1)"),44358.84793981482)</f>
        <v>44358.84794</v>
      </c>
      <c r="G13" s="84" t="s">
        <v>738</v>
      </c>
      <c r="H13" s="84" t="s">
        <v>739</v>
      </c>
      <c r="I13" s="46" t="s">
        <v>12</v>
      </c>
    </row>
    <row r="14">
      <c r="A14" s="5" t="s">
        <v>141</v>
      </c>
      <c r="B14" s="5" t="s">
        <v>142</v>
      </c>
      <c r="C14" s="23">
        <f t="shared" ref="C14:C17" si="5">COUNTIF($A$19:$A1000, A14)</f>
        <v>3</v>
      </c>
      <c r="D14" s="17">
        <f>IFERROR(__xludf.DUMMYFUNCTION("IF(C14, COUNTIF(FILTER($D$19:$D1000, $A$19:$A1000=A14), TRUE)/C14, 0)"),1.0)</f>
        <v>1</v>
      </c>
      <c r="E14" s="83">
        <v>1.623442965E9</v>
      </c>
      <c r="F14" s="68">
        <f>IFERROR(__xludf.DUMMYFUNCTION("INDEX(SPLIT(E14, char(10)), 0, 1)/86400+date(1970,1,1)"),44358.849131944444)</f>
        <v>44358.84913</v>
      </c>
      <c r="G14" s="84" t="s">
        <v>740</v>
      </c>
      <c r="H14" s="84" t="s">
        <v>741</v>
      </c>
      <c r="I14" s="46" t="s">
        <v>93</v>
      </c>
    </row>
    <row r="15">
      <c r="A15" s="5" t="s">
        <v>3</v>
      </c>
      <c r="B15" s="5" t="s">
        <v>145</v>
      </c>
      <c r="C15" s="23">
        <f t="shared" si="5"/>
        <v>2</v>
      </c>
      <c r="D15" s="17">
        <f>IFERROR(__xludf.DUMMYFUNCTION("IF(C15, COUNTIF(FILTER($D$19:$D1000, $A$19:$A1000=A15), TRUE)/C15, 0)"),0.5)</f>
        <v>0.5</v>
      </c>
      <c r="E15" s="83">
        <v>1.62344306E9</v>
      </c>
      <c r="F15" s="68">
        <f>IFERROR(__xludf.DUMMYFUNCTION("INDEX(SPLIT(E15, char(10)), 0, 1)/86400+date(1970,1,1)"),44358.85023148148)</f>
        <v>44358.85023</v>
      </c>
      <c r="G15" s="84" t="s">
        <v>742</v>
      </c>
      <c r="H15" s="84" t="s">
        <v>743</v>
      </c>
      <c r="I15" s="46" t="s">
        <v>13</v>
      </c>
    </row>
    <row r="16">
      <c r="A16" s="5" t="s">
        <v>4</v>
      </c>
      <c r="B16" s="5" t="s">
        <v>148</v>
      </c>
      <c r="C16" s="23">
        <f t="shared" si="5"/>
        <v>4</v>
      </c>
      <c r="D16" s="17">
        <f>IFERROR(__xludf.DUMMYFUNCTION("IF(C16, COUNTIF(FILTER($D$19:$D1000, $A$19:$A1000=A16), TRUE)/C16, 0)"),0.25)</f>
        <v>0.25</v>
      </c>
      <c r="E16" s="83">
        <v>1.623443198E9</v>
      </c>
      <c r="F16" s="68">
        <f>IFERROR(__xludf.DUMMYFUNCTION("INDEX(SPLIT(E16, char(10)), 0, 1)/86400+date(1970,1,1)"),44358.8518287037)</f>
        <v>44358.85183</v>
      </c>
      <c r="G16" s="84" t="s">
        <v>744</v>
      </c>
      <c r="H16" s="84" t="s">
        <v>745</v>
      </c>
      <c r="I16" s="46" t="s">
        <v>12</v>
      </c>
    </row>
    <row r="17">
      <c r="A17" s="5" t="s">
        <v>5</v>
      </c>
      <c r="B17" s="5" t="s">
        <v>151</v>
      </c>
      <c r="C17" s="23">
        <f t="shared" si="5"/>
        <v>9</v>
      </c>
      <c r="D17" s="17">
        <f>IFERROR(__xludf.DUMMYFUNCTION("IF(C17, COUNTIF(FILTER($D$19:$D1000, $A$19:$A1000=A17), TRUE)/C17, 0)"),0.4444444444444444)</f>
        <v>0.4444444444</v>
      </c>
      <c r="E17" s="83">
        <v>1.623443427E9</v>
      </c>
      <c r="F17" s="68">
        <f>IFERROR(__xludf.DUMMYFUNCTION("INDEX(SPLIT(E17, char(10)), 0, 1)/86400+date(1970,1,1)"),44358.854479166665)</f>
        <v>44358.85448</v>
      </c>
      <c r="G17" s="84" t="s">
        <v>746</v>
      </c>
      <c r="H17" s="84" t="s">
        <v>747</v>
      </c>
      <c r="I17" s="46" t="s">
        <v>93</v>
      </c>
    </row>
    <row r="18">
      <c r="A18" s="71"/>
      <c r="B18" s="13" t="s">
        <v>6</v>
      </c>
      <c r="C18" s="23">
        <f>SUM(C14:C17)</f>
        <v>18</v>
      </c>
      <c r="D18" s="17">
        <f>COUNTIF($D$19:$D1000, TRUE)/SUM($C$14:$C$17)</f>
        <v>0.5</v>
      </c>
      <c r="E18" s="83">
        <v>1.623443545E9</v>
      </c>
      <c r="F18" s="68">
        <f>IFERROR(__xludf.DUMMYFUNCTION("INDEX(SPLIT(E18, char(10)), 0, 1)/86400+date(1970,1,1)"),44358.855844907404)</f>
        <v>44358.85584</v>
      </c>
      <c r="G18" s="84" t="s">
        <v>748</v>
      </c>
      <c r="H18" s="84" t="s">
        <v>749</v>
      </c>
      <c r="I18" s="46" t="s">
        <v>14</v>
      </c>
    </row>
    <row r="19">
      <c r="A19" s="5" t="s">
        <v>4</v>
      </c>
      <c r="B19" s="5" t="s">
        <v>161</v>
      </c>
      <c r="C19" s="25">
        <v>1.0</v>
      </c>
      <c r="D19" s="79" t="b">
        <v>0</v>
      </c>
      <c r="E19" s="83">
        <v>1.623443791E9</v>
      </c>
      <c r="F19" s="68">
        <f>IFERROR(__xludf.DUMMYFUNCTION("INDEX(SPLIT(E19, char(10)), 0, 1)/86400+date(1970,1,1)"),44358.85869212963)</f>
        <v>44358.85869</v>
      </c>
      <c r="G19" s="84" t="s">
        <v>750</v>
      </c>
      <c r="H19" s="84" t="s">
        <v>751</v>
      </c>
      <c r="I19" s="46" t="s">
        <v>13</v>
      </c>
    </row>
    <row r="20">
      <c r="A20" s="5" t="s">
        <v>4</v>
      </c>
      <c r="B20" s="5" t="s">
        <v>167</v>
      </c>
      <c r="C20" s="25">
        <v>45.0</v>
      </c>
      <c r="D20" s="79" t="b">
        <v>0</v>
      </c>
      <c r="E20" s="83">
        <v>1.623443923E9</v>
      </c>
      <c r="F20" s="68">
        <f>IFERROR(__xludf.DUMMYFUNCTION("INDEX(SPLIT(E20, char(10)), 0, 1)/86400+date(1970,1,1)"),44358.86021990741)</f>
        <v>44358.86022</v>
      </c>
      <c r="G20" s="84" t="s">
        <v>752</v>
      </c>
      <c r="H20" s="84" t="s">
        <v>753</v>
      </c>
      <c r="I20" s="46" t="s">
        <v>13</v>
      </c>
    </row>
    <row r="21">
      <c r="A21" s="5" t="s">
        <v>4</v>
      </c>
      <c r="B21" s="5" t="s">
        <v>170</v>
      </c>
      <c r="C21" s="25">
        <v>45.0</v>
      </c>
      <c r="D21" s="79" t="b">
        <v>0</v>
      </c>
      <c r="E21" s="83">
        <v>1.623444054E9</v>
      </c>
      <c r="F21" s="68">
        <f>IFERROR(__xludf.DUMMYFUNCTION("INDEX(SPLIT(E21, char(10)), 0, 1)/86400+date(1970,1,1)"),44358.86173611111)</f>
        <v>44358.86174</v>
      </c>
      <c r="G21" s="84" t="s">
        <v>754</v>
      </c>
      <c r="H21" s="84" t="s">
        <v>755</v>
      </c>
      <c r="I21" s="46" t="s">
        <v>12</v>
      </c>
    </row>
    <row r="22">
      <c r="A22" s="5" t="s">
        <v>5</v>
      </c>
      <c r="B22" s="5" t="s">
        <v>510</v>
      </c>
      <c r="C22" s="25">
        <v>46.0</v>
      </c>
      <c r="D22" s="79" t="b">
        <v>1</v>
      </c>
      <c r="E22" s="83">
        <v>1.623444201E9</v>
      </c>
      <c r="F22" s="68">
        <f>IFERROR(__xludf.DUMMYFUNCTION("INDEX(SPLIT(E22, char(10)), 0, 1)/86400+date(1970,1,1)"),44358.8634375)</f>
        <v>44358.86344</v>
      </c>
      <c r="G22" s="84" t="s">
        <v>756</v>
      </c>
      <c r="H22" s="84" t="s">
        <v>757</v>
      </c>
      <c r="I22" s="46" t="s">
        <v>93</v>
      </c>
    </row>
    <row r="23">
      <c r="A23" s="5" t="s">
        <v>5</v>
      </c>
      <c r="B23" s="5" t="s">
        <v>513</v>
      </c>
      <c r="C23" s="25">
        <v>46.0</v>
      </c>
      <c r="D23" s="79" t="b">
        <v>1</v>
      </c>
      <c r="E23" s="83">
        <v>1.623444416E9</v>
      </c>
      <c r="F23" s="68">
        <f>IFERROR(__xludf.DUMMYFUNCTION("INDEX(SPLIT(E23, char(10)), 0, 1)/86400+date(1970,1,1)"),44358.86592592593)</f>
        <v>44358.86593</v>
      </c>
      <c r="G23" s="84" t="s">
        <v>758</v>
      </c>
      <c r="H23" s="84" t="s">
        <v>759</v>
      </c>
      <c r="I23" s="46" t="s">
        <v>13</v>
      </c>
    </row>
    <row r="24">
      <c r="A24" s="5" t="s">
        <v>141</v>
      </c>
      <c r="B24" s="5" t="s">
        <v>516</v>
      </c>
      <c r="C24" s="25">
        <v>53.0</v>
      </c>
      <c r="D24" s="79" t="b">
        <v>1</v>
      </c>
      <c r="E24" s="83">
        <v>1.623444579E9</v>
      </c>
      <c r="F24" s="68">
        <f>IFERROR(__xludf.DUMMYFUNCTION("INDEX(SPLIT(E24, char(10)), 0, 1)/86400+date(1970,1,1)"),44358.8678125)</f>
        <v>44358.86781</v>
      </c>
      <c r="G24" s="84" t="s">
        <v>760</v>
      </c>
      <c r="H24" s="84" t="s">
        <v>761</v>
      </c>
      <c r="I24" s="46" t="s">
        <v>14</v>
      </c>
    </row>
    <row r="25">
      <c r="A25" s="5" t="s">
        <v>5</v>
      </c>
      <c r="B25" s="71" t="s">
        <v>519</v>
      </c>
      <c r="C25" s="25">
        <v>64.0</v>
      </c>
      <c r="D25" s="79" t="b">
        <v>0</v>
      </c>
      <c r="E25" s="83">
        <v>1.623444677E9</v>
      </c>
      <c r="F25" s="68">
        <f>IFERROR(__xludf.DUMMYFUNCTION("INDEX(SPLIT(E25, char(10)), 0, 1)/86400+date(1970,1,1)"),44358.86894675926)</f>
        <v>44358.86895</v>
      </c>
      <c r="G25" s="84" t="s">
        <v>762</v>
      </c>
      <c r="H25" s="84" t="s">
        <v>763</v>
      </c>
      <c r="I25" s="46" t="s">
        <v>13</v>
      </c>
    </row>
    <row r="26">
      <c r="A26" s="5" t="s">
        <v>5</v>
      </c>
      <c r="B26" s="71" t="s">
        <v>522</v>
      </c>
      <c r="C26" s="25">
        <v>65.0</v>
      </c>
      <c r="D26" s="79" t="b">
        <v>0</v>
      </c>
      <c r="E26" s="25"/>
      <c r="F26" s="68"/>
      <c r="G26" s="5"/>
      <c r="H26" s="5"/>
      <c r="I26" s="5"/>
    </row>
    <row r="27">
      <c r="A27" s="5" t="s">
        <v>141</v>
      </c>
      <c r="B27" s="71" t="s">
        <v>525</v>
      </c>
      <c r="C27" s="25">
        <v>66.0</v>
      </c>
      <c r="D27" s="79" t="b">
        <v>1</v>
      </c>
      <c r="E27" s="25"/>
      <c r="F27" s="68"/>
      <c r="G27" s="5"/>
      <c r="H27" s="5"/>
      <c r="I27" s="5"/>
    </row>
    <row r="28">
      <c r="A28" s="5" t="s">
        <v>5</v>
      </c>
      <c r="B28" s="71" t="s">
        <v>528</v>
      </c>
      <c r="C28" s="25">
        <v>74.0</v>
      </c>
      <c r="D28" s="79" t="b">
        <v>0</v>
      </c>
      <c r="E28" s="25"/>
      <c r="F28" s="68"/>
      <c r="G28" s="5"/>
      <c r="H28" s="5"/>
      <c r="I28" s="5"/>
    </row>
    <row r="29">
      <c r="A29" s="5" t="s">
        <v>5</v>
      </c>
      <c r="B29" s="71" t="s">
        <v>531</v>
      </c>
      <c r="C29" s="25">
        <v>76.0</v>
      </c>
      <c r="D29" s="79" t="b">
        <v>0</v>
      </c>
      <c r="E29" s="75"/>
      <c r="F29" s="68"/>
      <c r="G29" s="5"/>
      <c r="H29" s="5"/>
      <c r="I29" s="5"/>
    </row>
    <row r="30">
      <c r="A30" s="5" t="s">
        <v>141</v>
      </c>
      <c r="B30" s="71" t="s">
        <v>534</v>
      </c>
      <c r="C30" s="25">
        <v>79.0</v>
      </c>
      <c r="D30" s="79" t="b">
        <v>1</v>
      </c>
      <c r="E30" s="68"/>
      <c r="F30" s="68"/>
      <c r="G30" s="5"/>
      <c r="H30" s="5"/>
      <c r="I30" s="5"/>
    </row>
    <row r="31">
      <c r="A31" s="5" t="s">
        <v>5</v>
      </c>
      <c r="B31" s="71" t="s">
        <v>537</v>
      </c>
      <c r="C31" s="25">
        <v>81.0</v>
      </c>
      <c r="D31" s="79" t="b">
        <v>1</v>
      </c>
      <c r="E31" s="75"/>
      <c r="F31" s="68"/>
      <c r="G31" s="5"/>
      <c r="H31" s="5"/>
      <c r="I31" s="5"/>
    </row>
    <row r="32">
      <c r="A32" s="5" t="s">
        <v>5</v>
      </c>
      <c r="B32" s="71" t="s">
        <v>540</v>
      </c>
      <c r="C32" s="25">
        <v>81.0</v>
      </c>
      <c r="D32" s="79" t="b">
        <v>1</v>
      </c>
      <c r="E32" s="75"/>
      <c r="F32" s="68"/>
      <c r="G32" s="5"/>
      <c r="H32" s="5"/>
      <c r="I32" s="5"/>
    </row>
    <row r="33">
      <c r="A33" s="5" t="s">
        <v>5</v>
      </c>
      <c r="B33" s="71" t="s">
        <v>543</v>
      </c>
      <c r="C33" s="25">
        <v>85.0</v>
      </c>
      <c r="D33" s="79" t="b">
        <v>0</v>
      </c>
      <c r="E33" s="75"/>
      <c r="F33" s="68"/>
      <c r="G33" s="5"/>
      <c r="H33" s="5"/>
      <c r="I33" s="5"/>
    </row>
    <row r="34">
      <c r="A34" s="5" t="s">
        <v>3</v>
      </c>
      <c r="B34" s="71" t="s">
        <v>546</v>
      </c>
      <c r="C34" s="25">
        <v>88.0</v>
      </c>
      <c r="D34" s="79" t="b">
        <v>1</v>
      </c>
      <c r="E34" s="75"/>
      <c r="F34" s="68"/>
      <c r="G34" s="5"/>
      <c r="H34" s="5"/>
      <c r="I34" s="5"/>
    </row>
    <row r="35">
      <c r="A35" s="5" t="s">
        <v>3</v>
      </c>
      <c r="B35" s="71" t="s">
        <v>549</v>
      </c>
      <c r="C35" s="25">
        <v>90.0</v>
      </c>
      <c r="D35" s="79" t="b">
        <v>0</v>
      </c>
      <c r="E35" s="75"/>
      <c r="F35" s="68"/>
      <c r="G35" s="5"/>
      <c r="H35" s="5"/>
      <c r="I35" s="5"/>
    </row>
    <row r="36">
      <c r="A36" s="5" t="s">
        <v>4</v>
      </c>
      <c r="B36" s="71" t="s">
        <v>195</v>
      </c>
      <c r="C36" s="25">
        <v>90.0</v>
      </c>
      <c r="D36" s="79" t="b">
        <v>1</v>
      </c>
      <c r="E36" s="75"/>
      <c r="F36" s="68"/>
      <c r="G36" s="5"/>
      <c r="H36" s="5"/>
      <c r="I36" s="5"/>
    </row>
    <row r="37">
      <c r="A37" s="5"/>
      <c r="B37" s="71"/>
      <c r="C37" s="25"/>
      <c r="D37" s="5"/>
      <c r="E37" s="75"/>
      <c r="F37" s="68"/>
      <c r="G37" s="5"/>
      <c r="H37" s="5"/>
      <c r="I37" s="5"/>
    </row>
    <row r="38">
      <c r="A38" s="46"/>
      <c r="B38" s="46"/>
      <c r="C38" s="77"/>
      <c r="D38" s="46"/>
      <c r="E38" s="77"/>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93"/>
      <c r="F41" s="68"/>
      <c r="G41" s="5"/>
      <c r="H41" s="5"/>
      <c r="I41" s="5"/>
    </row>
    <row r="42">
      <c r="A42" s="46"/>
      <c r="B42" s="46"/>
      <c r="C42" s="77"/>
      <c r="D42" s="46"/>
      <c r="E42" s="93"/>
      <c r="F42" s="68"/>
      <c r="G42" s="5"/>
      <c r="H42" s="5"/>
      <c r="I42" s="5"/>
    </row>
    <row r="43">
      <c r="A43" s="46"/>
      <c r="B43" s="46"/>
      <c r="C43" s="46"/>
      <c r="D43" s="46"/>
      <c r="E43" s="93"/>
      <c r="F43" s="68"/>
      <c r="G43" s="5"/>
      <c r="H43" s="5"/>
      <c r="I43" s="5"/>
    </row>
    <row r="44">
      <c r="E44" s="94"/>
      <c r="H44" s="5"/>
    </row>
    <row r="45">
      <c r="E45" s="94"/>
      <c r="H45" s="5"/>
    </row>
    <row r="46">
      <c r="E46" s="94"/>
      <c r="H46" s="5"/>
    </row>
    <row r="47">
      <c r="E47" s="94"/>
      <c r="H47" s="5"/>
    </row>
    <row r="48">
      <c r="E48" s="94"/>
      <c r="H48" s="5"/>
    </row>
    <row r="49">
      <c r="E49" s="94"/>
      <c r="H49" s="5"/>
    </row>
    <row r="50">
      <c r="E50" s="94"/>
      <c r="H50" s="5"/>
    </row>
    <row r="51">
      <c r="E51" s="94"/>
      <c r="H51" s="5"/>
    </row>
    <row r="52">
      <c r="E52" s="94"/>
      <c r="H52" s="5"/>
    </row>
    <row r="53">
      <c r="E53" s="94"/>
      <c r="H53" s="5"/>
    </row>
    <row r="54">
      <c r="E54" s="94"/>
      <c r="H54" s="5"/>
    </row>
    <row r="55">
      <c r="E55" s="94"/>
      <c r="H55" s="5"/>
    </row>
    <row r="56">
      <c r="E56" s="94"/>
      <c r="H56" s="5"/>
    </row>
    <row r="57">
      <c r="E57" s="94"/>
      <c r="H57" s="5"/>
    </row>
    <row r="58">
      <c r="E58" s="94"/>
      <c r="H58" s="5"/>
    </row>
    <row r="59">
      <c r="E59" s="94"/>
      <c r="H59" s="5"/>
    </row>
    <row r="60">
      <c r="E60" s="94"/>
      <c r="H60" s="5"/>
    </row>
    <row r="61">
      <c r="E61" s="94"/>
      <c r="H61" s="5"/>
    </row>
    <row r="62">
      <c r="E62" s="94"/>
      <c r="H62" s="5"/>
    </row>
    <row r="63">
      <c r="E63" s="94"/>
      <c r="H63" s="5"/>
    </row>
    <row r="64">
      <c r="E64" s="9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3</v>
      </c>
      <c r="D2" s="17">
        <f t="shared" ref="D2:D6" si="2">C2/COUNTA(I$2:I1000)</f>
        <v>0.1428571429</v>
      </c>
      <c r="E2" s="83">
        <v>1.623438073E9</v>
      </c>
      <c r="F2" s="68">
        <f>IFERROR(__xludf.DUMMYFUNCTION("INDEX(SPLIT(E2, char(10)), 0, 1)/86400+date(1970,1,1)"),44358.79251157407)</f>
        <v>44358.79251</v>
      </c>
      <c r="G2" s="84" t="s">
        <v>764</v>
      </c>
      <c r="H2" s="84" t="s">
        <v>765</v>
      </c>
      <c r="I2" s="46" t="s">
        <v>14</v>
      </c>
    </row>
    <row r="3">
      <c r="A3" s="5" t="s">
        <v>11</v>
      </c>
      <c r="B3" s="5" t="s">
        <v>111</v>
      </c>
      <c r="C3" s="25">
        <f t="shared" si="1"/>
        <v>2</v>
      </c>
      <c r="D3" s="17">
        <f t="shared" si="2"/>
        <v>0.09523809524</v>
      </c>
      <c r="E3" s="83">
        <v>1.623439368E9</v>
      </c>
      <c r="F3" s="68">
        <f>IFERROR(__xludf.DUMMYFUNCTION("INDEX(SPLIT(E3, char(10)), 0, 1)/86400+date(1970,1,1)"),44358.807499999995)</f>
        <v>44358.8075</v>
      </c>
      <c r="G3" s="84" t="s">
        <v>396</v>
      </c>
      <c r="H3" s="84" t="s">
        <v>766</v>
      </c>
      <c r="I3" s="46" t="s">
        <v>14</v>
      </c>
    </row>
    <row r="4">
      <c r="A4" s="5" t="s">
        <v>12</v>
      </c>
      <c r="B4" s="5" t="s">
        <v>114</v>
      </c>
      <c r="C4" s="25">
        <f t="shared" si="1"/>
        <v>2</v>
      </c>
      <c r="D4" s="17">
        <f t="shared" si="2"/>
        <v>0.09523809524</v>
      </c>
      <c r="E4" s="83">
        <v>1.623440685E9</v>
      </c>
      <c r="F4" s="68">
        <f>IFERROR(__xludf.DUMMYFUNCTION("INDEX(SPLIT(E4, char(10)), 0, 1)/86400+date(1970,1,1)"),44358.822743055556)</f>
        <v>44358.82274</v>
      </c>
      <c r="G4" s="84" t="s">
        <v>576</v>
      </c>
      <c r="H4" s="84" t="s">
        <v>767</v>
      </c>
      <c r="I4" s="46" t="s">
        <v>14</v>
      </c>
    </row>
    <row r="5">
      <c r="A5" s="5" t="s">
        <v>13</v>
      </c>
      <c r="B5" s="5" t="s">
        <v>117</v>
      </c>
      <c r="C5" s="25">
        <f t="shared" si="1"/>
        <v>5</v>
      </c>
      <c r="D5" s="17">
        <f t="shared" si="2"/>
        <v>0.2380952381</v>
      </c>
      <c r="E5" s="83">
        <v>1.623440787E9</v>
      </c>
      <c r="F5" s="68">
        <f>IFERROR(__xludf.DUMMYFUNCTION("INDEX(SPLIT(E5, char(10)), 0, 1)/86400+date(1970,1,1)"),44358.82392361111)</f>
        <v>44358.82392</v>
      </c>
      <c r="G5" s="84" t="s">
        <v>768</v>
      </c>
      <c r="H5" s="84" t="s">
        <v>769</v>
      </c>
      <c r="I5" s="46" t="s">
        <v>12</v>
      </c>
    </row>
    <row r="6">
      <c r="A6" s="5" t="s">
        <v>14</v>
      </c>
      <c r="B6" s="5" t="s">
        <v>120</v>
      </c>
      <c r="C6" s="25">
        <f t="shared" si="1"/>
        <v>9</v>
      </c>
      <c r="D6" s="17">
        <f t="shared" si="2"/>
        <v>0.4285714286</v>
      </c>
      <c r="E6" s="83">
        <v>1.623440884E9</v>
      </c>
      <c r="F6" s="68">
        <f>IFERROR(__xludf.DUMMYFUNCTION("INDEX(SPLIT(E6, char(10)), 0, 1)/86400+date(1970,1,1)"),44358.8250462963)</f>
        <v>44358.82505</v>
      </c>
      <c r="G6" s="84" t="s">
        <v>770</v>
      </c>
      <c r="H6" s="84" t="s">
        <v>771</v>
      </c>
      <c r="I6" s="46" t="s">
        <v>14</v>
      </c>
    </row>
    <row r="7">
      <c r="A7" s="5"/>
      <c r="B7" s="5" t="s">
        <v>10</v>
      </c>
      <c r="C7" s="23">
        <f t="shared" ref="C7:D7" si="3">SUM(C2:C6)</f>
        <v>21</v>
      </c>
      <c r="D7" s="70">
        <f t="shared" si="3"/>
        <v>1</v>
      </c>
      <c r="E7" s="83">
        <v>1.623440982E9</v>
      </c>
      <c r="F7" s="68">
        <f>IFERROR(__xludf.DUMMYFUNCTION("INDEX(SPLIT(E7, char(10)), 0, 1)/86400+date(1970,1,1)"),44358.82618055555)</f>
        <v>44358.82618</v>
      </c>
      <c r="G7" s="84" t="s">
        <v>772</v>
      </c>
      <c r="H7" s="84" t="s">
        <v>773</v>
      </c>
      <c r="I7" s="46" t="s">
        <v>12</v>
      </c>
    </row>
    <row r="8">
      <c r="A8" s="71"/>
      <c r="B8" s="5" t="s">
        <v>15</v>
      </c>
      <c r="C8" s="25">
        <f t="shared" ref="C8:D8" si="4">SUM(C5:C6)</f>
        <v>14</v>
      </c>
      <c r="D8" s="17">
        <f t="shared" si="4"/>
        <v>0.6666666667</v>
      </c>
      <c r="E8" s="83">
        <v>1.623442001E9</v>
      </c>
      <c r="F8" s="68">
        <f>IFERROR(__xludf.DUMMYFUNCTION("INDEX(SPLIT(E8, char(10)), 0, 1)/86400+date(1970,1,1)"),44358.83797453703)</f>
        <v>44358.83797</v>
      </c>
      <c r="G8" s="84" t="s">
        <v>386</v>
      </c>
      <c r="H8" s="84" t="s">
        <v>774</v>
      </c>
      <c r="I8" s="46" t="s">
        <v>14</v>
      </c>
    </row>
    <row r="9">
      <c r="A9" s="71"/>
      <c r="B9" s="5" t="s">
        <v>127</v>
      </c>
      <c r="C9" s="25">
        <f>C2+C5+C6</f>
        <v>17</v>
      </c>
      <c r="D9" s="17">
        <f>SUM(D5:D6) + D2</f>
        <v>0.8095238095</v>
      </c>
      <c r="E9" s="83">
        <v>1.623442228E9</v>
      </c>
      <c r="F9" s="68">
        <f>IFERROR(__xludf.DUMMYFUNCTION("INDEX(SPLIT(E9, char(10)), 0, 1)/86400+date(1970,1,1)"),44358.84060185185)</f>
        <v>44358.8406</v>
      </c>
      <c r="G9" s="84" t="s">
        <v>775</v>
      </c>
      <c r="H9" s="84" t="s">
        <v>776</v>
      </c>
      <c r="I9" s="46" t="s">
        <v>13</v>
      </c>
    </row>
    <row r="10">
      <c r="A10" s="71"/>
      <c r="B10" s="71"/>
      <c r="C10" s="71"/>
      <c r="D10" s="71"/>
      <c r="E10" s="83">
        <v>1.62344233E9</v>
      </c>
      <c r="F10" s="68">
        <f>IFERROR(__xludf.DUMMYFUNCTION("INDEX(SPLIT(E10, char(10)), 0, 1)/86400+date(1970,1,1)"),44358.841782407406)</f>
        <v>44358.84178</v>
      </c>
      <c r="G10" s="84" t="s">
        <v>777</v>
      </c>
      <c r="H10" s="84" t="s">
        <v>778</v>
      </c>
      <c r="I10" s="46" t="s">
        <v>93</v>
      </c>
    </row>
    <row r="11">
      <c r="A11" s="71"/>
      <c r="B11" s="71"/>
      <c r="C11" s="71"/>
      <c r="D11" s="71"/>
      <c r="E11" s="83">
        <v>1.623442471E9</v>
      </c>
      <c r="F11" s="68">
        <f>IFERROR(__xludf.DUMMYFUNCTION("INDEX(SPLIT(E11, char(10)), 0, 1)/86400+date(1970,1,1)"),44358.84341435185)</f>
        <v>44358.84341</v>
      </c>
      <c r="G11" s="84" t="s">
        <v>779</v>
      </c>
      <c r="H11" s="84" t="s">
        <v>780</v>
      </c>
      <c r="I11" s="46" t="s">
        <v>14</v>
      </c>
    </row>
    <row r="12">
      <c r="A12" s="13" t="s">
        <v>134</v>
      </c>
      <c r="B12" s="85" t="s">
        <v>781</v>
      </c>
      <c r="C12" s="71"/>
      <c r="D12" s="71"/>
      <c r="E12" s="83">
        <v>1.623442596E9</v>
      </c>
      <c r="F12" s="68">
        <f>IFERROR(__xludf.DUMMYFUNCTION("INDEX(SPLIT(E12, char(10)), 0, 1)/86400+date(1970,1,1)"),44358.84486111111)</f>
        <v>44358.84486</v>
      </c>
      <c r="G12" s="84" t="s">
        <v>782</v>
      </c>
      <c r="H12" s="84" t="s">
        <v>783</v>
      </c>
      <c r="I12" s="46" t="s">
        <v>93</v>
      </c>
    </row>
    <row r="13">
      <c r="A13" s="13" t="s">
        <v>138</v>
      </c>
      <c r="B13" s="71"/>
      <c r="C13" s="13" t="s">
        <v>101</v>
      </c>
      <c r="D13" s="13" t="s">
        <v>102</v>
      </c>
      <c r="E13" s="83">
        <v>1.623443028E9</v>
      </c>
      <c r="F13" s="68">
        <f>IFERROR(__xludf.DUMMYFUNCTION("INDEX(SPLIT(E13, char(10)), 0, 1)/86400+date(1970,1,1)"),44358.84986111111)</f>
        <v>44358.84986</v>
      </c>
      <c r="G13" s="84" t="s">
        <v>784</v>
      </c>
      <c r="H13" s="84" t="s">
        <v>785</v>
      </c>
      <c r="I13" s="46" t="s">
        <v>13</v>
      </c>
    </row>
    <row r="14">
      <c r="A14" s="5" t="s">
        <v>141</v>
      </c>
      <c r="B14" s="5" t="s">
        <v>142</v>
      </c>
      <c r="C14" s="23">
        <f t="shared" ref="C14:C17" si="5">COUNTIF($A$19:$A1000, A14)</f>
        <v>3</v>
      </c>
      <c r="D14" s="17">
        <f>IFERROR(__xludf.DUMMYFUNCTION("IF(C14, COUNTIF(FILTER($D$19:$D1000, $A$19:$A1000=A14), TRUE)/C14, 0)"),1.0)</f>
        <v>1</v>
      </c>
      <c r="E14" s="83">
        <v>1.623443139E9</v>
      </c>
      <c r="F14" s="68">
        <f>IFERROR(__xludf.DUMMYFUNCTION("INDEX(SPLIT(E14, char(10)), 0, 1)/86400+date(1970,1,1)"),44358.85114583334)</f>
        <v>44358.85115</v>
      </c>
      <c r="G14" s="84" t="s">
        <v>786</v>
      </c>
      <c r="H14" s="84" t="s">
        <v>787</v>
      </c>
      <c r="I14" s="46" t="s">
        <v>14</v>
      </c>
    </row>
    <row r="15">
      <c r="A15" s="5" t="s">
        <v>3</v>
      </c>
      <c r="B15" s="5" t="s">
        <v>145</v>
      </c>
      <c r="C15" s="23">
        <f t="shared" si="5"/>
        <v>2</v>
      </c>
      <c r="D15" s="17">
        <f>IFERROR(__xludf.DUMMYFUNCTION("IF(C15, COUNTIF(FILTER($D$19:$D1000, $A$19:$A1000=A15), TRUE)/C15, 0)"),0.0)</f>
        <v>0</v>
      </c>
      <c r="E15" s="83">
        <v>1.62344343E9</v>
      </c>
      <c r="F15" s="68">
        <f>IFERROR(__xludf.DUMMYFUNCTION("INDEX(SPLIT(E15, char(10)), 0, 1)/86400+date(1970,1,1)"),44358.85451388889)</f>
        <v>44358.85451</v>
      </c>
      <c r="G15" s="84" t="s">
        <v>788</v>
      </c>
      <c r="H15" s="84" t="s">
        <v>789</v>
      </c>
      <c r="I15" s="46" t="s">
        <v>93</v>
      </c>
    </row>
    <row r="16">
      <c r="A16" s="5" t="s">
        <v>4</v>
      </c>
      <c r="B16" s="5" t="s">
        <v>148</v>
      </c>
      <c r="C16" s="23">
        <f t="shared" si="5"/>
        <v>4</v>
      </c>
      <c r="D16" s="17">
        <f>IFERROR(__xludf.DUMMYFUNCTION("IF(C16, COUNTIF(FILTER($D$19:$D1000, $A$19:$A1000=A16), TRUE)/C16, 0)"),0.25)</f>
        <v>0.25</v>
      </c>
      <c r="E16" s="83">
        <v>1.623443533E9</v>
      </c>
      <c r="F16" s="68">
        <f>IFERROR(__xludf.DUMMYFUNCTION("INDEX(SPLIT(E16, char(10)), 0, 1)/86400+date(1970,1,1)"),44358.85570601852)</f>
        <v>44358.85571</v>
      </c>
      <c r="G16" s="84" t="s">
        <v>748</v>
      </c>
      <c r="H16" s="84" t="s">
        <v>749</v>
      </c>
      <c r="I16" s="46" t="s">
        <v>14</v>
      </c>
    </row>
    <row r="17">
      <c r="A17" s="5" t="s">
        <v>5</v>
      </c>
      <c r="B17" s="5" t="s">
        <v>151</v>
      </c>
      <c r="C17" s="23">
        <f t="shared" si="5"/>
        <v>9</v>
      </c>
      <c r="D17" s="17">
        <f>IFERROR(__xludf.DUMMYFUNCTION("IF(C17, COUNTIF(FILTER($D$19:$D1000, $A$19:$A1000=A17), TRUE)/C17, 0)"),0.2222222222222222)</f>
        <v>0.2222222222</v>
      </c>
      <c r="E17" s="83">
        <v>1.6234438E9</v>
      </c>
      <c r="F17" s="68">
        <f>IFERROR(__xludf.DUMMYFUNCTION("INDEX(SPLIT(E17, char(10)), 0, 1)/86400+date(1970,1,1)"),44358.85879629629)</f>
        <v>44358.8588</v>
      </c>
      <c r="G17" s="84" t="s">
        <v>790</v>
      </c>
      <c r="H17" s="84" t="s">
        <v>791</v>
      </c>
      <c r="I17" s="46" t="s">
        <v>13</v>
      </c>
    </row>
    <row r="18">
      <c r="A18" s="71"/>
      <c r="B18" s="13" t="s">
        <v>6</v>
      </c>
      <c r="C18" s="23">
        <f>SUM(C14:C17)</f>
        <v>18</v>
      </c>
      <c r="D18" s="17">
        <f>COUNTIF($D$19:$D1000, TRUE)/SUM($C$14:$C$17)</f>
        <v>0.3333333333</v>
      </c>
      <c r="E18" s="83">
        <v>1.623443966E9</v>
      </c>
      <c r="F18" s="68">
        <f>IFERROR(__xludf.DUMMYFUNCTION("INDEX(SPLIT(E18, char(10)), 0, 1)/86400+date(1970,1,1)"),44358.86071759259)</f>
        <v>44358.86072</v>
      </c>
      <c r="G18" s="84" t="s">
        <v>792</v>
      </c>
      <c r="H18" s="84" t="s">
        <v>793</v>
      </c>
      <c r="I18" s="46" t="s">
        <v>13</v>
      </c>
    </row>
    <row r="19">
      <c r="A19" s="5" t="s">
        <v>4</v>
      </c>
      <c r="B19" s="5" t="s">
        <v>161</v>
      </c>
      <c r="C19" s="25">
        <v>1.0</v>
      </c>
      <c r="D19" s="79" t="b">
        <v>0</v>
      </c>
      <c r="E19" s="83">
        <v>1.623444075E9</v>
      </c>
      <c r="F19" s="68">
        <f>IFERROR(__xludf.DUMMYFUNCTION("INDEX(SPLIT(E19, char(10)), 0, 1)/86400+date(1970,1,1)"),44358.86197916667)</f>
        <v>44358.86198</v>
      </c>
      <c r="G19" s="84" t="s">
        <v>794</v>
      </c>
      <c r="H19" s="84" t="s">
        <v>795</v>
      </c>
      <c r="I19" s="46" t="s">
        <v>11</v>
      </c>
    </row>
    <row r="20">
      <c r="A20" s="5" t="s">
        <v>4</v>
      </c>
      <c r="B20" s="5" t="s">
        <v>167</v>
      </c>
      <c r="C20" s="25">
        <v>45.0</v>
      </c>
      <c r="D20" s="79" t="b">
        <v>0</v>
      </c>
      <c r="E20" s="83">
        <v>1.623444199E9</v>
      </c>
      <c r="F20" s="68">
        <f>IFERROR(__xludf.DUMMYFUNCTION("INDEX(SPLIT(E20, char(10)), 0, 1)/86400+date(1970,1,1)"),44358.86341435185)</f>
        <v>44358.86341</v>
      </c>
      <c r="G20" s="84" t="s">
        <v>796</v>
      </c>
      <c r="H20" s="84" t="s">
        <v>797</v>
      </c>
      <c r="I20" s="46" t="s">
        <v>11</v>
      </c>
    </row>
    <row r="21">
      <c r="A21" s="5" t="s">
        <v>4</v>
      </c>
      <c r="B21" s="5" t="s">
        <v>170</v>
      </c>
      <c r="C21" s="25">
        <v>45.0</v>
      </c>
      <c r="D21" s="79" t="b">
        <v>0</v>
      </c>
      <c r="E21" s="83">
        <v>1.623444548E9</v>
      </c>
      <c r="F21" s="68">
        <f>IFERROR(__xludf.DUMMYFUNCTION("INDEX(SPLIT(E21, char(10)), 0, 1)/86400+date(1970,1,1)"),44358.8674537037)</f>
        <v>44358.86745</v>
      </c>
      <c r="G21" s="84" t="s">
        <v>798</v>
      </c>
      <c r="H21" s="84" t="s">
        <v>799</v>
      </c>
      <c r="I21" s="46" t="s">
        <v>14</v>
      </c>
    </row>
    <row r="22">
      <c r="A22" s="5" t="s">
        <v>5</v>
      </c>
      <c r="B22" s="5" t="s">
        <v>510</v>
      </c>
      <c r="C22" s="25">
        <v>46.0</v>
      </c>
      <c r="D22" s="79" t="b">
        <v>0</v>
      </c>
      <c r="E22" s="83">
        <v>1.623444642E9</v>
      </c>
      <c r="F22" s="68">
        <f>IFERROR(__xludf.DUMMYFUNCTION("INDEX(SPLIT(E22, char(10)), 0, 1)/86400+date(1970,1,1)"),44358.86854166667)</f>
        <v>44358.86854</v>
      </c>
      <c r="G22" s="84" t="s">
        <v>800</v>
      </c>
      <c r="H22" s="84" t="s">
        <v>801</v>
      </c>
      <c r="I22" s="46" t="s">
        <v>13</v>
      </c>
    </row>
    <row r="23">
      <c r="A23" s="5" t="s">
        <v>5</v>
      </c>
      <c r="B23" s="5" t="s">
        <v>513</v>
      </c>
      <c r="C23" s="25">
        <v>46.0</v>
      </c>
      <c r="D23" s="79" t="b">
        <v>0</v>
      </c>
      <c r="E23" s="83"/>
      <c r="F23" s="68"/>
      <c r="G23" s="5"/>
      <c r="H23" s="5"/>
      <c r="I23" s="46"/>
    </row>
    <row r="24">
      <c r="A24" s="5" t="s">
        <v>141</v>
      </c>
      <c r="B24" s="5" t="s">
        <v>516</v>
      </c>
      <c r="C24" s="25">
        <v>53.0</v>
      </c>
      <c r="D24" s="79" t="b">
        <v>1</v>
      </c>
      <c r="E24" s="83"/>
      <c r="F24" s="68"/>
      <c r="G24" s="5"/>
      <c r="H24" s="5"/>
      <c r="I24" s="46"/>
    </row>
    <row r="25">
      <c r="A25" s="5" t="s">
        <v>5</v>
      </c>
      <c r="B25" s="71" t="s">
        <v>519</v>
      </c>
      <c r="C25" s="25">
        <v>64.0</v>
      </c>
      <c r="D25" s="79" t="b">
        <v>0</v>
      </c>
      <c r="E25" s="83"/>
      <c r="F25" s="68"/>
      <c r="G25" s="5"/>
      <c r="H25" s="5"/>
      <c r="I25" s="46"/>
    </row>
    <row r="26">
      <c r="A26" s="5" t="s">
        <v>5</v>
      </c>
      <c r="B26" s="71" t="s">
        <v>522</v>
      </c>
      <c r="C26" s="25">
        <v>65.0</v>
      </c>
      <c r="D26" s="79" t="b">
        <v>0</v>
      </c>
      <c r="E26" s="25"/>
      <c r="F26" s="68"/>
      <c r="G26" s="5"/>
      <c r="H26" s="5"/>
      <c r="I26" s="5"/>
    </row>
    <row r="27">
      <c r="A27" s="5" t="s">
        <v>141</v>
      </c>
      <c r="B27" s="71" t="s">
        <v>525</v>
      </c>
      <c r="C27" s="25">
        <v>66.0</v>
      </c>
      <c r="D27" s="79" t="b">
        <v>1</v>
      </c>
      <c r="E27" s="25"/>
      <c r="F27" s="68"/>
      <c r="G27" s="5"/>
      <c r="H27" s="5"/>
      <c r="I27" s="5"/>
    </row>
    <row r="28">
      <c r="A28" s="5" t="s">
        <v>5</v>
      </c>
      <c r="B28" s="71" t="s">
        <v>528</v>
      </c>
      <c r="C28" s="25">
        <v>74.0</v>
      </c>
      <c r="D28" s="79" t="b">
        <v>0</v>
      </c>
      <c r="E28" s="25"/>
      <c r="F28" s="68"/>
      <c r="G28" s="5"/>
      <c r="H28" s="5"/>
      <c r="I28" s="5"/>
    </row>
    <row r="29">
      <c r="A29" s="5" t="s">
        <v>5</v>
      </c>
      <c r="B29" s="71" t="s">
        <v>531</v>
      </c>
      <c r="C29" s="25">
        <v>76.0</v>
      </c>
      <c r="D29" s="79" t="b">
        <v>0</v>
      </c>
      <c r="E29" s="75"/>
      <c r="F29" s="68"/>
      <c r="G29" s="5"/>
      <c r="H29" s="5"/>
      <c r="I29" s="5"/>
    </row>
    <row r="30">
      <c r="A30" s="5" t="s">
        <v>141</v>
      </c>
      <c r="B30" s="71" t="s">
        <v>534</v>
      </c>
      <c r="C30" s="25">
        <v>79.0</v>
      </c>
      <c r="D30" s="79" t="b">
        <v>1</v>
      </c>
      <c r="E30" s="68"/>
      <c r="F30" s="68"/>
      <c r="G30" s="5"/>
      <c r="H30" s="5"/>
      <c r="I30" s="5"/>
    </row>
    <row r="31">
      <c r="A31" s="5" t="s">
        <v>5</v>
      </c>
      <c r="B31" s="71" t="s">
        <v>537</v>
      </c>
      <c r="C31" s="25">
        <v>81.0</v>
      </c>
      <c r="D31" s="79" t="b">
        <v>1</v>
      </c>
      <c r="E31" s="75"/>
      <c r="F31" s="68"/>
      <c r="G31" s="5"/>
      <c r="H31" s="5"/>
      <c r="I31" s="5"/>
    </row>
    <row r="32">
      <c r="A32" s="5" t="s">
        <v>5</v>
      </c>
      <c r="B32" s="71" t="s">
        <v>540</v>
      </c>
      <c r="C32" s="25">
        <v>81.0</v>
      </c>
      <c r="D32" s="79" t="b">
        <v>1</v>
      </c>
      <c r="E32" s="75"/>
      <c r="F32" s="68"/>
      <c r="G32" s="5"/>
      <c r="H32" s="5"/>
      <c r="I32" s="5"/>
    </row>
    <row r="33">
      <c r="A33" s="5" t="s">
        <v>5</v>
      </c>
      <c r="B33" s="71" t="s">
        <v>543</v>
      </c>
      <c r="C33" s="25">
        <v>85.0</v>
      </c>
      <c r="D33" s="79" t="b">
        <v>0</v>
      </c>
      <c r="E33" s="75"/>
      <c r="F33" s="68"/>
      <c r="G33" s="5"/>
      <c r="H33" s="5"/>
      <c r="I33" s="5"/>
    </row>
    <row r="34">
      <c r="A34" s="5" t="s">
        <v>3</v>
      </c>
      <c r="B34" s="71" t="s">
        <v>546</v>
      </c>
      <c r="C34" s="25">
        <v>88.0</v>
      </c>
      <c r="D34" s="79" t="b">
        <v>0</v>
      </c>
      <c r="E34" s="75"/>
      <c r="F34" s="68"/>
      <c r="G34" s="5"/>
      <c r="H34" s="5"/>
      <c r="I34" s="5"/>
    </row>
    <row r="35">
      <c r="A35" s="5" t="s">
        <v>3</v>
      </c>
      <c r="B35" s="71" t="s">
        <v>549</v>
      </c>
      <c r="C35" s="25">
        <v>90.0</v>
      </c>
      <c r="D35" s="79" t="b">
        <v>0</v>
      </c>
      <c r="E35" s="75"/>
      <c r="F35" s="68"/>
      <c r="G35" s="5"/>
      <c r="H35" s="5"/>
      <c r="I35" s="5"/>
    </row>
    <row r="36">
      <c r="A36" s="5" t="s">
        <v>4</v>
      </c>
      <c r="B36" s="71" t="s">
        <v>195</v>
      </c>
      <c r="C36" s="25">
        <v>90.0</v>
      </c>
      <c r="D36" s="79" t="b">
        <v>1</v>
      </c>
      <c r="E36" s="75"/>
      <c r="F36" s="68"/>
      <c r="G36" s="5"/>
      <c r="H36" s="5"/>
      <c r="I36" s="5"/>
    </row>
    <row r="37">
      <c r="A37" s="5"/>
      <c r="B37" s="71"/>
      <c r="C37" s="25"/>
      <c r="D37" s="5"/>
      <c r="E37" s="75"/>
      <c r="F37" s="68"/>
      <c r="G37" s="5"/>
      <c r="H37" s="5"/>
      <c r="I37" s="5"/>
    </row>
    <row r="38">
      <c r="A38" s="5"/>
      <c r="B38" s="71"/>
      <c r="C38" s="25"/>
      <c r="D38" s="5"/>
      <c r="E38" s="75"/>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93"/>
      <c r="F41" s="68"/>
      <c r="G41" s="5"/>
      <c r="H41" s="5"/>
      <c r="I41" s="5"/>
    </row>
    <row r="42">
      <c r="A42" s="46"/>
      <c r="B42" s="46"/>
      <c r="C42" s="77"/>
      <c r="D42" s="46"/>
      <c r="E42" s="93"/>
      <c r="F42" s="68"/>
      <c r="G42" s="5"/>
      <c r="H42" s="5"/>
      <c r="I42" s="5"/>
    </row>
    <row r="43">
      <c r="A43" s="46"/>
      <c r="B43" s="46"/>
      <c r="C43" s="46"/>
      <c r="D43" s="46"/>
      <c r="E43" s="93"/>
      <c r="F43" s="68"/>
      <c r="G43" s="5"/>
      <c r="H43" s="5"/>
      <c r="I43" s="5"/>
    </row>
    <row r="44">
      <c r="E44" s="94"/>
      <c r="H44" s="5"/>
    </row>
    <row r="45">
      <c r="E45" s="94"/>
      <c r="H45" s="5"/>
    </row>
    <row r="46">
      <c r="E46" s="94"/>
      <c r="H46" s="5"/>
    </row>
    <row r="47">
      <c r="E47" s="94"/>
      <c r="H47" s="5"/>
    </row>
    <row r="48">
      <c r="E48" s="94"/>
      <c r="H48" s="5"/>
    </row>
    <row r="49">
      <c r="E49" s="94"/>
      <c r="H49" s="5"/>
    </row>
    <row r="50">
      <c r="E50" s="94"/>
      <c r="H50" s="5"/>
    </row>
    <row r="51">
      <c r="E51" s="94"/>
      <c r="H51" s="5"/>
    </row>
    <row r="52">
      <c r="E52" s="94"/>
      <c r="H52" s="5"/>
    </row>
    <row r="53">
      <c r="E53" s="94"/>
      <c r="H53" s="5"/>
    </row>
    <row r="54">
      <c r="E54" s="94"/>
      <c r="H54" s="5"/>
    </row>
    <row r="55">
      <c r="E55" s="94"/>
      <c r="H55" s="5"/>
    </row>
    <row r="56">
      <c r="E56" s="94"/>
      <c r="H56" s="5"/>
    </row>
    <row r="57">
      <c r="E57" s="94"/>
      <c r="H57" s="5"/>
    </row>
    <row r="58">
      <c r="E58" s="94"/>
      <c r="H58" s="5"/>
    </row>
    <row r="59">
      <c r="E59" s="94"/>
      <c r="H59" s="5"/>
    </row>
    <row r="60">
      <c r="E60" s="94"/>
      <c r="H60" s="5"/>
    </row>
    <row r="61">
      <c r="E61" s="94"/>
      <c r="H61" s="5"/>
    </row>
    <row r="62">
      <c r="E62" s="94"/>
      <c r="H62" s="5"/>
    </row>
    <row r="63">
      <c r="E63" s="94"/>
      <c r="H63" s="5"/>
    </row>
    <row r="64">
      <c r="E64" s="9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3</v>
      </c>
      <c r="D2" s="17">
        <f t="shared" ref="D2:D6" si="2">C2/COUNTA(I$2:I1000)</f>
        <v>0.1071428571</v>
      </c>
      <c r="E2" s="83">
        <v>1.623438065E9</v>
      </c>
      <c r="F2" s="68">
        <f>IFERROR(__xludf.DUMMYFUNCTION("INDEX(SPLIT(E2, char(10)), 0, 1)/86400+date(1970,1,1)"),44358.79241898148)</f>
        <v>44358.79242</v>
      </c>
      <c r="G2" s="84" t="s">
        <v>802</v>
      </c>
      <c r="H2" s="84" t="s">
        <v>803</v>
      </c>
      <c r="I2" s="46" t="s">
        <v>14</v>
      </c>
    </row>
    <row r="3">
      <c r="A3" s="5" t="s">
        <v>11</v>
      </c>
      <c r="B3" s="5" t="s">
        <v>111</v>
      </c>
      <c r="C3" s="25">
        <f t="shared" si="1"/>
        <v>2</v>
      </c>
      <c r="D3" s="17">
        <f t="shared" si="2"/>
        <v>0.07142857143</v>
      </c>
      <c r="E3" s="83">
        <v>1.623439107E9</v>
      </c>
      <c r="F3" s="68">
        <f>IFERROR(__xludf.DUMMYFUNCTION("INDEX(SPLIT(E3, char(10)), 0, 1)/86400+date(1970,1,1)"),44358.80447916666)</f>
        <v>44358.80448</v>
      </c>
      <c r="G3" s="84" t="s">
        <v>804</v>
      </c>
      <c r="H3" s="84" t="s">
        <v>805</v>
      </c>
      <c r="I3" s="46" t="s">
        <v>14</v>
      </c>
    </row>
    <row r="4">
      <c r="A4" s="5" t="s">
        <v>12</v>
      </c>
      <c r="B4" s="5" t="s">
        <v>114</v>
      </c>
      <c r="C4" s="25">
        <f t="shared" si="1"/>
        <v>8</v>
      </c>
      <c r="D4" s="17">
        <f t="shared" si="2"/>
        <v>0.2857142857</v>
      </c>
      <c r="E4" s="83">
        <v>1.623439336E9</v>
      </c>
      <c r="F4" s="68">
        <f>IFERROR(__xludf.DUMMYFUNCTION("INDEX(SPLIT(E4, char(10)), 0, 1)/86400+date(1970,1,1)"),44358.807129629626)</f>
        <v>44358.80713</v>
      </c>
      <c r="G4" s="84" t="s">
        <v>806</v>
      </c>
      <c r="H4" s="84" t="s">
        <v>807</v>
      </c>
      <c r="I4" s="46" t="s">
        <v>14</v>
      </c>
    </row>
    <row r="5">
      <c r="A5" s="5" t="s">
        <v>13</v>
      </c>
      <c r="B5" s="5" t="s">
        <v>117</v>
      </c>
      <c r="C5" s="25">
        <f t="shared" si="1"/>
        <v>5</v>
      </c>
      <c r="D5" s="17">
        <f t="shared" si="2"/>
        <v>0.1785714286</v>
      </c>
      <c r="E5" s="83">
        <v>1.623439496E9</v>
      </c>
      <c r="F5" s="68">
        <f>IFERROR(__xludf.DUMMYFUNCTION("INDEX(SPLIT(E5, char(10)), 0, 1)/86400+date(1970,1,1)"),44358.80898148148)</f>
        <v>44358.80898</v>
      </c>
      <c r="G5" s="84" t="s">
        <v>808</v>
      </c>
      <c r="H5" s="84" t="s">
        <v>809</v>
      </c>
      <c r="I5" s="46" t="s">
        <v>14</v>
      </c>
    </row>
    <row r="6">
      <c r="A6" s="5" t="s">
        <v>14</v>
      </c>
      <c r="B6" s="5" t="s">
        <v>120</v>
      </c>
      <c r="C6" s="25">
        <f t="shared" si="1"/>
        <v>10</v>
      </c>
      <c r="D6" s="17">
        <f t="shared" si="2"/>
        <v>0.3571428571</v>
      </c>
      <c r="E6" s="83">
        <v>1.623440029E9</v>
      </c>
      <c r="F6" s="68">
        <f>IFERROR(__xludf.DUMMYFUNCTION("INDEX(SPLIT(E6, char(10)), 0, 1)/86400+date(1970,1,1)"),44358.815150462964)</f>
        <v>44358.81515</v>
      </c>
      <c r="G6" s="84" t="s">
        <v>810</v>
      </c>
      <c r="H6" s="84" t="s">
        <v>811</v>
      </c>
      <c r="I6" s="46" t="s">
        <v>12</v>
      </c>
    </row>
    <row r="7">
      <c r="A7" s="5"/>
      <c r="B7" s="5" t="s">
        <v>10</v>
      </c>
      <c r="C7" s="23">
        <f t="shared" ref="C7:D7" si="3">SUM(C2:C6)</f>
        <v>28</v>
      </c>
      <c r="D7" s="70">
        <f t="shared" si="3"/>
        <v>1</v>
      </c>
      <c r="E7" s="83">
        <v>1.623440674E9</v>
      </c>
      <c r="F7" s="68">
        <f>IFERROR(__xludf.DUMMYFUNCTION("INDEX(SPLIT(E7, char(10)), 0, 1)/86400+date(1970,1,1)"),44358.82261574074)</f>
        <v>44358.82262</v>
      </c>
      <c r="G7" s="84" t="s">
        <v>812</v>
      </c>
      <c r="H7" s="84" t="s">
        <v>813</v>
      </c>
      <c r="I7" s="46" t="s">
        <v>14</v>
      </c>
    </row>
    <row r="8">
      <c r="A8" s="71"/>
      <c r="B8" s="5" t="s">
        <v>15</v>
      </c>
      <c r="C8" s="25">
        <f t="shared" ref="C8:D8" si="4">SUM(C5:C6)</f>
        <v>15</v>
      </c>
      <c r="D8" s="17">
        <f t="shared" si="4"/>
        <v>0.5357142857</v>
      </c>
      <c r="E8" s="83">
        <v>1.62344078E9</v>
      </c>
      <c r="F8" s="68">
        <f>IFERROR(__xludf.DUMMYFUNCTION("INDEX(SPLIT(E8, char(10)), 0, 1)/86400+date(1970,1,1)"),44358.823842592596)</f>
        <v>44358.82384</v>
      </c>
      <c r="G8" s="84" t="s">
        <v>814</v>
      </c>
      <c r="H8" s="84" t="s">
        <v>815</v>
      </c>
      <c r="I8" s="46" t="s">
        <v>12</v>
      </c>
    </row>
    <row r="9">
      <c r="A9" s="71"/>
      <c r="B9" s="5" t="s">
        <v>127</v>
      </c>
      <c r="C9" s="25">
        <f>C2+C5+C6</f>
        <v>18</v>
      </c>
      <c r="D9" s="17">
        <f>SUM(D5:D6) + D2</f>
        <v>0.6428571429</v>
      </c>
      <c r="E9" s="83">
        <v>1.623440891E9</v>
      </c>
      <c r="F9" s="68">
        <f>IFERROR(__xludf.DUMMYFUNCTION("INDEX(SPLIT(E9, char(10)), 0, 1)/86400+date(1970,1,1)"),44358.82512731482)</f>
        <v>44358.82513</v>
      </c>
      <c r="G9" s="84" t="s">
        <v>816</v>
      </c>
      <c r="H9" s="84" t="s">
        <v>817</v>
      </c>
      <c r="I9" s="46" t="s">
        <v>12</v>
      </c>
    </row>
    <row r="10">
      <c r="A10" s="71"/>
      <c r="B10" s="71"/>
      <c r="C10" s="71"/>
      <c r="D10" s="71"/>
      <c r="E10" s="83">
        <v>1.623441019E9</v>
      </c>
      <c r="F10" s="68">
        <f>IFERROR(__xludf.DUMMYFUNCTION("INDEX(SPLIT(E10, char(10)), 0, 1)/86400+date(1970,1,1)"),44358.8266087963)</f>
        <v>44358.82661</v>
      </c>
      <c r="G10" s="84" t="s">
        <v>818</v>
      </c>
      <c r="H10" s="84" t="s">
        <v>819</v>
      </c>
      <c r="I10" s="46" t="s">
        <v>820</v>
      </c>
    </row>
    <row r="11">
      <c r="A11" s="71"/>
      <c r="B11" s="71"/>
      <c r="C11" s="71"/>
      <c r="D11" s="71"/>
      <c r="E11" s="83">
        <v>1.623441128E9</v>
      </c>
      <c r="F11" s="68">
        <f>IFERROR(__xludf.DUMMYFUNCTION("INDEX(SPLIT(E11, char(10)), 0, 1)/86400+date(1970,1,1)"),44358.82787037037)</f>
        <v>44358.82787</v>
      </c>
      <c r="G11" s="84" t="s">
        <v>669</v>
      </c>
      <c r="H11" s="84" t="s">
        <v>821</v>
      </c>
      <c r="I11" s="46" t="s">
        <v>12</v>
      </c>
    </row>
    <row r="12">
      <c r="A12" s="13" t="s">
        <v>134</v>
      </c>
      <c r="B12" s="85" t="s">
        <v>822</v>
      </c>
      <c r="C12" s="71"/>
      <c r="D12" s="71"/>
      <c r="E12" s="83">
        <v>1.623441783E9</v>
      </c>
      <c r="F12" s="68">
        <f>IFERROR(__xludf.DUMMYFUNCTION("INDEX(SPLIT(E12, char(10)), 0, 1)/86400+date(1970,1,1)"),44358.83545138889)</f>
        <v>44358.83545</v>
      </c>
      <c r="G12" s="84" t="s">
        <v>671</v>
      </c>
      <c r="H12" s="84" t="s">
        <v>823</v>
      </c>
      <c r="I12" s="46" t="s">
        <v>13</v>
      </c>
    </row>
    <row r="13">
      <c r="A13" s="13" t="s">
        <v>138</v>
      </c>
      <c r="B13" s="71"/>
      <c r="C13" s="13" t="s">
        <v>101</v>
      </c>
      <c r="D13" s="13" t="s">
        <v>102</v>
      </c>
      <c r="E13" s="83">
        <v>1.623441917E9</v>
      </c>
      <c r="F13" s="68">
        <f>IFERROR(__xludf.DUMMYFUNCTION("INDEX(SPLIT(E13, char(10)), 0, 1)/86400+date(1970,1,1)"),44358.837002314816)</f>
        <v>44358.837</v>
      </c>
      <c r="G13" s="84" t="s">
        <v>824</v>
      </c>
      <c r="H13" s="84" t="s">
        <v>825</v>
      </c>
      <c r="I13" s="46" t="s">
        <v>14</v>
      </c>
    </row>
    <row r="14">
      <c r="A14" s="5" t="s">
        <v>141</v>
      </c>
      <c r="B14" s="5" t="s">
        <v>142</v>
      </c>
      <c r="C14" s="23">
        <f t="shared" ref="C14:C17" si="5">COUNTIF($A$19:$A1000, A14)</f>
        <v>3</v>
      </c>
      <c r="D14" s="17">
        <f>IFERROR(__xludf.DUMMYFUNCTION("IF(C14, COUNTIF(FILTER($D$19:$D1000, $A$19:$A1000=A14), TRUE)/C14, 0)"),1.0)</f>
        <v>1</v>
      </c>
      <c r="E14" s="83">
        <v>1.623442222E9</v>
      </c>
      <c r="F14" s="68">
        <f>IFERROR(__xludf.DUMMYFUNCTION("INDEX(SPLIT(E14, char(10)), 0, 1)/86400+date(1970,1,1)"),44358.84053240741)</f>
        <v>44358.84053</v>
      </c>
      <c r="G14" s="84" t="s">
        <v>826</v>
      </c>
      <c r="H14" s="84" t="s">
        <v>827</v>
      </c>
      <c r="I14" s="46" t="s">
        <v>13</v>
      </c>
    </row>
    <row r="15">
      <c r="A15" s="5" t="s">
        <v>3</v>
      </c>
      <c r="B15" s="5" t="s">
        <v>145</v>
      </c>
      <c r="C15" s="23">
        <f t="shared" si="5"/>
        <v>2</v>
      </c>
      <c r="D15" s="17">
        <f>IFERROR(__xludf.DUMMYFUNCTION("IF(C15, COUNTIF(FILTER($D$19:$D1000, $A$19:$A1000=A15), TRUE)/C15, 0)"),0.0)</f>
        <v>0</v>
      </c>
      <c r="E15" s="83">
        <v>1.623442407E9</v>
      </c>
      <c r="F15" s="68">
        <f>IFERROR(__xludf.DUMMYFUNCTION("INDEX(SPLIT(E15, char(10)), 0, 1)/86400+date(1970,1,1)"),44358.842673611114)</f>
        <v>44358.84267</v>
      </c>
      <c r="G15" s="84" t="s">
        <v>828</v>
      </c>
      <c r="H15" s="84" t="s">
        <v>829</v>
      </c>
      <c r="I15" s="46" t="s">
        <v>14</v>
      </c>
    </row>
    <row r="16">
      <c r="A16" s="5" t="s">
        <v>4</v>
      </c>
      <c r="B16" s="5" t="s">
        <v>148</v>
      </c>
      <c r="C16" s="23">
        <f t="shared" si="5"/>
        <v>4</v>
      </c>
      <c r="D16" s="17">
        <f>IFERROR(__xludf.DUMMYFUNCTION("IF(C16, COUNTIF(FILTER($D$19:$D1000, $A$19:$A1000=A16), TRUE)/C16, 0)"),0.0)</f>
        <v>0</v>
      </c>
      <c r="E16" s="83">
        <v>1.623442558E9</v>
      </c>
      <c r="F16" s="68">
        <f>IFERROR(__xludf.DUMMYFUNCTION("INDEX(SPLIT(E16, char(10)), 0, 1)/86400+date(1970,1,1)"),44358.84442129629)</f>
        <v>44358.84442</v>
      </c>
      <c r="G16" s="84" t="s">
        <v>830</v>
      </c>
      <c r="H16" s="84" t="s">
        <v>831</v>
      </c>
      <c r="I16" s="46" t="s">
        <v>11</v>
      </c>
    </row>
    <row r="17">
      <c r="A17" s="5" t="s">
        <v>5</v>
      </c>
      <c r="B17" s="5" t="s">
        <v>151</v>
      </c>
      <c r="C17" s="23">
        <f t="shared" si="5"/>
        <v>9</v>
      </c>
      <c r="D17" s="17">
        <f>IFERROR(__xludf.DUMMYFUNCTION("IF(C17, COUNTIF(FILTER($D$19:$D1000, $A$19:$A1000=A17), TRUE)/C17, 0)"),0.4444444444444444)</f>
        <v>0.4444444444</v>
      </c>
      <c r="E17" s="83">
        <v>1.623442684E9</v>
      </c>
      <c r="F17" s="68">
        <f>IFERROR(__xludf.DUMMYFUNCTION("INDEX(SPLIT(E17, char(10)), 0, 1)/86400+date(1970,1,1)"),44358.84587962963)</f>
        <v>44358.84588</v>
      </c>
      <c r="G17" s="84" t="s">
        <v>832</v>
      </c>
      <c r="H17" s="84" t="s">
        <v>833</v>
      </c>
      <c r="I17" s="46" t="s">
        <v>12</v>
      </c>
    </row>
    <row r="18">
      <c r="A18" s="71"/>
      <c r="B18" s="13" t="s">
        <v>6</v>
      </c>
      <c r="C18" s="23">
        <f>SUM(C14:C17)</f>
        <v>18</v>
      </c>
      <c r="D18" s="17">
        <f>COUNTIF($D$19:$D1000, TRUE)/SUM($C$14:$C$17)</f>
        <v>0.3888888889</v>
      </c>
      <c r="E18" s="83">
        <v>1.62344297E9</v>
      </c>
      <c r="F18" s="68">
        <f>IFERROR(__xludf.DUMMYFUNCTION("INDEX(SPLIT(E18, char(10)), 0, 1)/86400+date(1970,1,1)"),44358.84918981481)</f>
        <v>44358.84919</v>
      </c>
      <c r="G18" s="84" t="s">
        <v>834</v>
      </c>
      <c r="H18" s="84" t="s">
        <v>835</v>
      </c>
      <c r="I18" s="46" t="s">
        <v>13</v>
      </c>
    </row>
    <row r="19">
      <c r="A19" s="5" t="s">
        <v>4</v>
      </c>
      <c r="B19" s="5" t="s">
        <v>161</v>
      </c>
      <c r="C19" s="25">
        <v>1.0</v>
      </c>
      <c r="D19" s="79" t="b">
        <v>0</v>
      </c>
      <c r="E19" s="83">
        <v>1.623443066E9</v>
      </c>
      <c r="F19" s="68">
        <f>IFERROR(__xludf.DUMMYFUNCTION("INDEX(SPLIT(E19, char(10)), 0, 1)/86400+date(1970,1,1)"),44358.85030092593)</f>
        <v>44358.8503</v>
      </c>
      <c r="G19" s="84" t="s">
        <v>836</v>
      </c>
      <c r="H19" s="84" t="s">
        <v>837</v>
      </c>
      <c r="I19" s="46" t="s">
        <v>11</v>
      </c>
    </row>
    <row r="20">
      <c r="A20" s="5" t="s">
        <v>4</v>
      </c>
      <c r="B20" s="5" t="s">
        <v>167</v>
      </c>
      <c r="C20" s="25">
        <v>45.0</v>
      </c>
      <c r="D20" s="79" t="b">
        <v>0</v>
      </c>
      <c r="E20" s="83">
        <v>1.623443165E9</v>
      </c>
      <c r="F20" s="68">
        <f>IFERROR(__xludf.DUMMYFUNCTION("INDEX(SPLIT(E20, char(10)), 0, 1)/86400+date(1970,1,1)"),44358.85144675926)</f>
        <v>44358.85145</v>
      </c>
      <c r="G20" s="84" t="s">
        <v>838</v>
      </c>
      <c r="H20" s="84" t="s">
        <v>839</v>
      </c>
      <c r="I20" s="46" t="s">
        <v>12</v>
      </c>
    </row>
    <row r="21">
      <c r="A21" s="5" t="s">
        <v>4</v>
      </c>
      <c r="B21" s="5" t="s">
        <v>170</v>
      </c>
      <c r="C21" s="25">
        <v>45.0</v>
      </c>
      <c r="D21" s="79" t="b">
        <v>0</v>
      </c>
      <c r="E21" s="83">
        <v>1.623443409E9</v>
      </c>
      <c r="F21" s="68">
        <f>IFERROR(__xludf.DUMMYFUNCTION("INDEX(SPLIT(E21, char(10)), 0, 1)/86400+date(1970,1,1)"),44358.85427083333)</f>
        <v>44358.85427</v>
      </c>
      <c r="G21" s="84" t="s">
        <v>840</v>
      </c>
      <c r="H21" s="84" t="s">
        <v>841</v>
      </c>
      <c r="I21" s="46" t="s">
        <v>93</v>
      </c>
    </row>
    <row r="22">
      <c r="A22" s="5" t="s">
        <v>5</v>
      </c>
      <c r="B22" s="5" t="s">
        <v>510</v>
      </c>
      <c r="C22" s="25">
        <v>46.0</v>
      </c>
      <c r="D22" s="79" t="b">
        <v>1</v>
      </c>
      <c r="E22" s="83">
        <v>1.623443529E9</v>
      </c>
      <c r="F22" s="68">
        <f>IFERROR(__xludf.DUMMYFUNCTION("INDEX(SPLIT(E22, char(10)), 0, 1)/86400+date(1970,1,1)"),44358.85565972222)</f>
        <v>44358.85566</v>
      </c>
      <c r="G22" s="84" t="s">
        <v>842</v>
      </c>
      <c r="H22" s="84" t="s">
        <v>843</v>
      </c>
      <c r="I22" s="46" t="s">
        <v>14</v>
      </c>
    </row>
    <row r="23">
      <c r="A23" s="5" t="s">
        <v>5</v>
      </c>
      <c r="B23" s="5" t="s">
        <v>513</v>
      </c>
      <c r="C23" s="25">
        <v>46.0</v>
      </c>
      <c r="D23" s="79" t="b">
        <v>1</v>
      </c>
      <c r="E23" s="83">
        <v>1.62344363E9</v>
      </c>
      <c r="F23" s="68">
        <f>IFERROR(__xludf.DUMMYFUNCTION("INDEX(SPLIT(E23, char(10)), 0, 1)/86400+date(1970,1,1)"),44358.856828703705)</f>
        <v>44358.85683</v>
      </c>
      <c r="G23" s="84" t="s">
        <v>844</v>
      </c>
      <c r="H23" s="84" t="s">
        <v>845</v>
      </c>
      <c r="I23" s="46" t="s">
        <v>14</v>
      </c>
    </row>
    <row r="24">
      <c r="A24" s="5" t="s">
        <v>141</v>
      </c>
      <c r="B24" s="5" t="s">
        <v>516</v>
      </c>
      <c r="C24" s="25">
        <v>53.0</v>
      </c>
      <c r="D24" s="79" t="b">
        <v>1</v>
      </c>
      <c r="E24" s="83">
        <v>1.623443794E9</v>
      </c>
      <c r="F24" s="68">
        <f>IFERROR(__xludf.DUMMYFUNCTION("INDEX(SPLIT(E24, char(10)), 0, 1)/86400+date(1970,1,1)"),44358.85872685185)</f>
        <v>44358.85873</v>
      </c>
      <c r="G24" s="84" t="s">
        <v>846</v>
      </c>
      <c r="H24" s="84" t="s">
        <v>847</v>
      </c>
      <c r="I24" s="46" t="s">
        <v>13</v>
      </c>
    </row>
    <row r="25">
      <c r="A25" s="5" t="s">
        <v>5</v>
      </c>
      <c r="B25" s="71" t="s">
        <v>519</v>
      </c>
      <c r="C25" s="25">
        <v>64.0</v>
      </c>
      <c r="D25" s="79" t="b">
        <v>0</v>
      </c>
      <c r="E25" s="83">
        <v>1.623443891E9</v>
      </c>
      <c r="F25" s="68">
        <f>IFERROR(__xludf.DUMMYFUNCTION("INDEX(SPLIT(E25, char(10)), 0, 1)/86400+date(1970,1,1)"),44358.85984953704)</f>
        <v>44358.85985</v>
      </c>
      <c r="G25" s="84" t="s">
        <v>848</v>
      </c>
      <c r="H25" s="84" t="s">
        <v>849</v>
      </c>
      <c r="I25" s="46" t="s">
        <v>13</v>
      </c>
    </row>
    <row r="26">
      <c r="A26" s="5" t="s">
        <v>5</v>
      </c>
      <c r="B26" s="71" t="s">
        <v>522</v>
      </c>
      <c r="C26" s="25">
        <v>65.0</v>
      </c>
      <c r="D26" s="79" t="b">
        <v>0</v>
      </c>
      <c r="E26" s="83">
        <v>1.623444073E9</v>
      </c>
      <c r="F26" s="68">
        <f>IFERROR(__xludf.DUMMYFUNCTION("INDEX(SPLIT(E26, char(10)), 0, 1)/86400+date(1970,1,1)"),44358.86195601852)</f>
        <v>44358.86196</v>
      </c>
      <c r="G26" s="84" t="s">
        <v>850</v>
      </c>
      <c r="H26" s="84" t="s">
        <v>851</v>
      </c>
      <c r="I26" s="46" t="s">
        <v>12</v>
      </c>
    </row>
    <row r="27">
      <c r="A27" s="5" t="s">
        <v>141</v>
      </c>
      <c r="B27" s="71" t="s">
        <v>525</v>
      </c>
      <c r="C27" s="25">
        <v>66.0</v>
      </c>
      <c r="D27" s="79" t="b">
        <v>1</v>
      </c>
      <c r="E27" s="83">
        <v>1.623444198E9</v>
      </c>
      <c r="F27" s="68">
        <f>IFERROR(__xludf.DUMMYFUNCTION("INDEX(SPLIT(E27, char(10)), 0, 1)/86400+date(1970,1,1)"),44358.86340277777)</f>
        <v>44358.8634</v>
      </c>
      <c r="G27" s="84" t="s">
        <v>852</v>
      </c>
      <c r="H27" s="84" t="s">
        <v>853</v>
      </c>
      <c r="I27" s="46" t="s">
        <v>93</v>
      </c>
    </row>
    <row r="28">
      <c r="A28" s="5" t="s">
        <v>5</v>
      </c>
      <c r="B28" s="71" t="s">
        <v>528</v>
      </c>
      <c r="C28" s="25">
        <v>74.0</v>
      </c>
      <c r="D28" s="79" t="b">
        <v>0</v>
      </c>
      <c r="E28" s="83">
        <v>1.623444547E9</v>
      </c>
      <c r="F28" s="68">
        <f>IFERROR(__xludf.DUMMYFUNCTION("INDEX(SPLIT(E28, char(10)), 0, 1)/86400+date(1970,1,1)"),44358.86744212963)</f>
        <v>44358.86744</v>
      </c>
      <c r="G28" s="84" t="s">
        <v>854</v>
      </c>
      <c r="H28" s="84" t="s">
        <v>855</v>
      </c>
      <c r="I28" s="46" t="s">
        <v>14</v>
      </c>
    </row>
    <row r="29">
      <c r="A29" s="5" t="s">
        <v>5</v>
      </c>
      <c r="B29" s="71" t="s">
        <v>531</v>
      </c>
      <c r="C29" s="25">
        <v>76.0</v>
      </c>
      <c r="D29" s="79" t="b">
        <v>0</v>
      </c>
      <c r="E29" s="87">
        <v>1.623444645E9</v>
      </c>
      <c r="F29" s="68">
        <f>IFERROR(__xludf.DUMMYFUNCTION("INDEX(SPLIT(E29, char(10)), 0, 1)/86400+date(1970,1,1)"),44358.86857638889)</f>
        <v>44358.86858</v>
      </c>
      <c r="G29" s="84" t="s">
        <v>856</v>
      </c>
      <c r="H29" s="84" t="s">
        <v>857</v>
      </c>
      <c r="I29" s="46" t="s">
        <v>93</v>
      </c>
    </row>
    <row r="30">
      <c r="A30" s="5" t="s">
        <v>141</v>
      </c>
      <c r="B30" s="71" t="s">
        <v>534</v>
      </c>
      <c r="C30" s="25">
        <v>79.0</v>
      </c>
      <c r="D30" s="79" t="b">
        <v>1</v>
      </c>
      <c r="E30" s="78"/>
      <c r="F30" s="68"/>
      <c r="G30" s="84"/>
      <c r="H30" s="84"/>
      <c r="I30" s="46"/>
    </row>
    <row r="31">
      <c r="A31" s="5" t="s">
        <v>5</v>
      </c>
      <c r="B31" s="71" t="s">
        <v>537</v>
      </c>
      <c r="C31" s="25">
        <v>81.0</v>
      </c>
      <c r="D31" s="79" t="b">
        <v>1</v>
      </c>
      <c r="E31" s="87"/>
      <c r="F31" s="68"/>
      <c r="G31" s="84"/>
      <c r="H31" s="84"/>
      <c r="I31" s="46"/>
    </row>
    <row r="32">
      <c r="A32" s="5" t="s">
        <v>5</v>
      </c>
      <c r="B32" s="71" t="s">
        <v>540</v>
      </c>
      <c r="C32" s="25">
        <v>81.0</v>
      </c>
      <c r="D32" s="79" t="b">
        <v>1</v>
      </c>
      <c r="E32" s="75"/>
      <c r="F32" s="68"/>
      <c r="G32" s="5"/>
      <c r="H32" s="5"/>
      <c r="I32" s="5"/>
    </row>
    <row r="33">
      <c r="A33" s="5" t="s">
        <v>5</v>
      </c>
      <c r="B33" s="71" t="s">
        <v>543</v>
      </c>
      <c r="C33" s="25">
        <v>85.0</v>
      </c>
      <c r="D33" s="79" t="b">
        <v>0</v>
      </c>
      <c r="E33" s="75"/>
      <c r="F33" s="68"/>
      <c r="G33" s="5"/>
      <c r="H33" s="5"/>
      <c r="I33" s="5"/>
    </row>
    <row r="34">
      <c r="A34" s="5" t="s">
        <v>3</v>
      </c>
      <c r="B34" s="71" t="s">
        <v>546</v>
      </c>
      <c r="C34" s="25">
        <v>88.0</v>
      </c>
      <c r="D34" s="79" t="b">
        <v>0</v>
      </c>
      <c r="E34" s="75"/>
      <c r="F34" s="68"/>
      <c r="G34" s="5"/>
      <c r="H34" s="5"/>
      <c r="I34" s="5"/>
    </row>
    <row r="35">
      <c r="A35" s="5" t="s">
        <v>3</v>
      </c>
      <c r="B35" s="71" t="s">
        <v>549</v>
      </c>
      <c r="C35" s="25">
        <v>90.0</v>
      </c>
      <c r="D35" s="79" t="b">
        <v>0</v>
      </c>
      <c r="E35" s="75"/>
      <c r="F35" s="68"/>
      <c r="G35" s="5"/>
      <c r="H35" s="5"/>
      <c r="I35" s="5"/>
    </row>
    <row r="36">
      <c r="A36" s="5" t="s">
        <v>4</v>
      </c>
      <c r="B36" s="71" t="s">
        <v>195</v>
      </c>
      <c r="C36" s="25">
        <v>90.0</v>
      </c>
      <c r="D36" s="79" t="b">
        <v>0</v>
      </c>
      <c r="E36" s="75"/>
      <c r="F36" s="68"/>
      <c r="G36" s="5"/>
      <c r="H36" s="5"/>
      <c r="I36" s="5"/>
    </row>
    <row r="37">
      <c r="A37" s="5"/>
      <c r="B37" s="71"/>
      <c r="C37" s="25"/>
      <c r="D37" s="5"/>
      <c r="E37" s="75"/>
      <c r="F37" s="68"/>
      <c r="G37" s="5"/>
      <c r="H37" s="5"/>
      <c r="I37" s="5"/>
    </row>
    <row r="38">
      <c r="A38" s="46"/>
      <c r="B38" s="46"/>
      <c r="C38" s="77"/>
      <c r="D38" s="46"/>
      <c r="E38" s="77"/>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93"/>
      <c r="F41" s="68"/>
      <c r="G41" s="5"/>
      <c r="H41" s="5"/>
      <c r="I41" s="5"/>
    </row>
    <row r="42">
      <c r="A42" s="46"/>
      <c r="B42" s="46"/>
      <c r="C42" s="77"/>
      <c r="D42" s="46"/>
      <c r="E42" s="93"/>
      <c r="F42" s="68"/>
      <c r="G42" s="5"/>
      <c r="H42" s="5"/>
      <c r="I42" s="5"/>
    </row>
    <row r="43">
      <c r="A43" s="46"/>
      <c r="B43" s="46"/>
      <c r="C43" s="46"/>
      <c r="D43" s="46"/>
      <c r="E43" s="93"/>
      <c r="F43" s="68"/>
      <c r="G43" s="5"/>
      <c r="H43" s="5"/>
      <c r="I43" s="5"/>
    </row>
    <row r="44">
      <c r="E44" s="94"/>
      <c r="H44" s="5"/>
    </row>
    <row r="45">
      <c r="E45" s="94"/>
      <c r="H45" s="5"/>
    </row>
    <row r="46">
      <c r="E46" s="94"/>
      <c r="H46" s="5"/>
    </row>
    <row r="47">
      <c r="E47" s="94"/>
      <c r="H47" s="5"/>
    </row>
    <row r="48">
      <c r="E48" s="94"/>
      <c r="H48" s="5"/>
    </row>
    <row r="49">
      <c r="E49" s="94"/>
      <c r="H49" s="5"/>
    </row>
    <row r="50">
      <c r="E50" s="94"/>
      <c r="H50" s="5"/>
    </row>
    <row r="51">
      <c r="E51" s="94"/>
      <c r="H51" s="5"/>
    </row>
    <row r="52">
      <c r="E52" s="94"/>
      <c r="H52" s="5"/>
    </row>
    <row r="53">
      <c r="E53" s="94"/>
      <c r="H53" s="5"/>
    </row>
    <row r="54">
      <c r="E54" s="94"/>
      <c r="H54" s="5"/>
    </row>
    <row r="55">
      <c r="E55" s="94"/>
      <c r="H55" s="5"/>
    </row>
    <row r="56">
      <c r="E56" s="94"/>
      <c r="H56" s="5"/>
    </row>
    <row r="57">
      <c r="E57" s="94"/>
      <c r="H57" s="5"/>
    </row>
    <row r="58">
      <c r="E58" s="94"/>
      <c r="H58" s="5"/>
    </row>
    <row r="59">
      <c r="E59" s="94"/>
      <c r="H59" s="5"/>
    </row>
    <row r="60">
      <c r="E60" s="94"/>
      <c r="H60" s="5"/>
    </row>
    <row r="61">
      <c r="E61" s="94"/>
      <c r="H61" s="5"/>
    </row>
    <row r="62">
      <c r="E62" s="94"/>
      <c r="H62" s="5"/>
    </row>
    <row r="63">
      <c r="E63" s="94"/>
      <c r="H63" s="5"/>
    </row>
    <row r="64">
      <c r="E64" s="9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56" t="s">
        <v>106</v>
      </c>
      <c r="I1" s="1" t="s">
        <v>107</v>
      </c>
      <c r="J1" s="13"/>
      <c r="K1" s="5"/>
      <c r="L1" s="5"/>
      <c r="M1" s="5"/>
      <c r="N1" s="5"/>
      <c r="O1" s="5"/>
      <c r="P1" s="5"/>
      <c r="Q1" s="5"/>
      <c r="R1" s="5"/>
      <c r="S1" s="5"/>
      <c r="T1" s="5"/>
      <c r="U1" s="5"/>
      <c r="V1" s="5"/>
      <c r="W1" s="5"/>
      <c r="X1" s="5"/>
      <c r="Y1" s="5"/>
      <c r="Z1" s="5"/>
      <c r="AA1" s="5"/>
    </row>
    <row r="2">
      <c r="A2" s="7" t="s">
        <v>93</v>
      </c>
      <c r="B2" s="7" t="s">
        <v>108</v>
      </c>
      <c r="C2" s="67">
        <f t="shared" ref="C2:C6" si="1">COUNTIF(I:I,A2)</f>
        <v>2</v>
      </c>
      <c r="D2" s="17">
        <f t="shared" ref="D2:D6" si="2">C2/COUNTA(I$2:I1000)</f>
        <v>0.05714285714</v>
      </c>
      <c r="E2" s="67">
        <v>1.59310457E9</v>
      </c>
      <c r="F2" s="68">
        <f>IFERROR(__xludf.DUMMYFUNCTION("INDEX(SPLIT(E2, char(10)), 0, 1)/86400+date(1970,1,1)"),44007.71030092593)</f>
        <v>44007.7103</v>
      </c>
      <c r="G2" s="7" t="s">
        <v>858</v>
      </c>
      <c r="H2" s="84" t="s">
        <v>859</v>
      </c>
      <c r="I2" s="7" t="s">
        <v>11</v>
      </c>
      <c r="J2" s="5"/>
      <c r="K2" s="5"/>
      <c r="L2" s="5"/>
      <c r="M2" s="5"/>
      <c r="N2" s="5"/>
      <c r="O2" s="5"/>
      <c r="P2" s="5"/>
      <c r="Q2" s="5"/>
      <c r="R2" s="5"/>
      <c r="S2" s="5"/>
      <c r="T2" s="5"/>
      <c r="U2" s="5"/>
      <c r="V2" s="5"/>
      <c r="W2" s="5"/>
      <c r="X2" s="5"/>
      <c r="Y2" s="5"/>
      <c r="Z2" s="5"/>
      <c r="AA2" s="5"/>
    </row>
    <row r="3">
      <c r="A3" s="7" t="s">
        <v>11</v>
      </c>
      <c r="B3" s="7" t="s">
        <v>111</v>
      </c>
      <c r="C3" s="67">
        <f t="shared" si="1"/>
        <v>5</v>
      </c>
      <c r="D3" s="17">
        <f t="shared" si="2"/>
        <v>0.1428571429</v>
      </c>
      <c r="E3" s="67">
        <v>1.593104741E9</v>
      </c>
      <c r="F3" s="68">
        <f>IFERROR(__xludf.DUMMYFUNCTION("INDEX(SPLIT(E3, char(10)), 0, 1)/86400+date(1970,1,1)"),44007.71228009259)</f>
        <v>44007.71228</v>
      </c>
      <c r="G3" s="7" t="s">
        <v>860</v>
      </c>
      <c r="H3" s="84" t="s">
        <v>861</v>
      </c>
      <c r="I3" s="7" t="s">
        <v>11</v>
      </c>
      <c r="J3" s="5"/>
      <c r="K3" s="5"/>
      <c r="L3" s="5"/>
      <c r="M3" s="5"/>
      <c r="N3" s="5"/>
      <c r="O3" s="5"/>
      <c r="P3" s="5"/>
      <c r="Q3" s="5"/>
      <c r="R3" s="5"/>
      <c r="S3" s="5"/>
      <c r="T3" s="5"/>
      <c r="U3" s="5"/>
      <c r="V3" s="5"/>
      <c r="W3" s="5"/>
      <c r="X3" s="5"/>
      <c r="Y3" s="5"/>
      <c r="Z3" s="5"/>
      <c r="AA3" s="5"/>
    </row>
    <row r="4">
      <c r="A4" s="7" t="s">
        <v>12</v>
      </c>
      <c r="B4" s="7" t="s">
        <v>114</v>
      </c>
      <c r="C4" s="67">
        <f t="shared" si="1"/>
        <v>6</v>
      </c>
      <c r="D4" s="17">
        <f t="shared" si="2"/>
        <v>0.1714285714</v>
      </c>
      <c r="E4" s="67">
        <v>1.593104925E9</v>
      </c>
      <c r="F4" s="68">
        <f>IFERROR(__xludf.DUMMYFUNCTION("INDEX(SPLIT(E4, char(10)), 0, 1)/86400+date(1970,1,1)"),44007.71440972222)</f>
        <v>44007.71441</v>
      </c>
      <c r="G4" s="7" t="s">
        <v>386</v>
      </c>
      <c r="H4" s="84" t="s">
        <v>862</v>
      </c>
      <c r="I4" s="7" t="s">
        <v>13</v>
      </c>
      <c r="J4" s="5"/>
      <c r="K4" s="5"/>
      <c r="L4" s="5"/>
      <c r="M4" s="5"/>
      <c r="N4" s="5"/>
      <c r="O4" s="5"/>
      <c r="P4" s="5"/>
      <c r="Q4" s="5"/>
      <c r="R4" s="5"/>
      <c r="S4" s="5"/>
      <c r="T4" s="5"/>
      <c r="U4" s="5"/>
      <c r="V4" s="5"/>
      <c r="W4" s="5"/>
      <c r="X4" s="5"/>
      <c r="Y4" s="5"/>
      <c r="Z4" s="5"/>
      <c r="AA4" s="5"/>
    </row>
    <row r="5">
      <c r="A5" s="7" t="s">
        <v>13</v>
      </c>
      <c r="B5" s="7" t="s">
        <v>117</v>
      </c>
      <c r="C5" s="67">
        <f t="shared" si="1"/>
        <v>12</v>
      </c>
      <c r="D5" s="17">
        <f t="shared" si="2"/>
        <v>0.3428571429</v>
      </c>
      <c r="E5" s="67">
        <v>1.593105021E9</v>
      </c>
      <c r="F5" s="68">
        <f>IFERROR(__xludf.DUMMYFUNCTION("INDEX(SPLIT(E5, char(10)), 0, 1)/86400+date(1970,1,1)"),44007.71552083333)</f>
        <v>44007.71552</v>
      </c>
      <c r="G5" s="7" t="s">
        <v>863</v>
      </c>
      <c r="H5" s="84" t="s">
        <v>864</v>
      </c>
      <c r="I5" s="7" t="s">
        <v>14</v>
      </c>
      <c r="J5" s="5"/>
      <c r="K5" s="5"/>
      <c r="L5" s="5"/>
      <c r="M5" s="5"/>
      <c r="N5" s="5"/>
      <c r="O5" s="5"/>
      <c r="P5" s="5"/>
      <c r="Q5" s="5"/>
      <c r="R5" s="5"/>
      <c r="S5" s="5"/>
      <c r="T5" s="5"/>
      <c r="U5" s="5"/>
      <c r="V5" s="5"/>
      <c r="W5" s="5"/>
      <c r="X5" s="5"/>
      <c r="Y5" s="5"/>
      <c r="Z5" s="5"/>
      <c r="AA5" s="5"/>
    </row>
    <row r="6">
      <c r="A6" s="7" t="s">
        <v>14</v>
      </c>
      <c r="B6" s="7" t="s">
        <v>120</v>
      </c>
      <c r="C6" s="67">
        <f t="shared" si="1"/>
        <v>10</v>
      </c>
      <c r="D6" s="17">
        <f t="shared" si="2"/>
        <v>0.2857142857</v>
      </c>
      <c r="E6" s="67">
        <v>1.593105117E9</v>
      </c>
      <c r="F6" s="68">
        <f>IFERROR(__xludf.DUMMYFUNCTION("INDEX(SPLIT(E6, char(10)), 0, 1)/86400+date(1970,1,1)"),44007.716631944444)</f>
        <v>44007.71663</v>
      </c>
      <c r="G6" s="7" t="s">
        <v>865</v>
      </c>
      <c r="H6" s="84" t="s">
        <v>866</v>
      </c>
      <c r="I6" s="7" t="s">
        <v>13</v>
      </c>
      <c r="J6" s="5"/>
      <c r="K6" s="5"/>
      <c r="L6" s="5"/>
      <c r="M6" s="5"/>
      <c r="N6" s="5"/>
      <c r="O6" s="5"/>
      <c r="P6" s="5"/>
      <c r="Q6" s="5"/>
      <c r="R6" s="5"/>
      <c r="S6" s="5"/>
      <c r="T6" s="5"/>
      <c r="U6" s="5"/>
      <c r="V6" s="5"/>
      <c r="W6" s="5"/>
      <c r="X6" s="5"/>
      <c r="Y6" s="5"/>
      <c r="Z6" s="5"/>
      <c r="AA6" s="5"/>
    </row>
    <row r="7">
      <c r="A7" s="5"/>
      <c r="B7" s="7" t="s">
        <v>10</v>
      </c>
      <c r="C7" s="23">
        <f t="shared" ref="C7:D7" si="3">SUM(C2:C6)</f>
        <v>35</v>
      </c>
      <c r="D7" s="70">
        <f t="shared" si="3"/>
        <v>1</v>
      </c>
      <c r="E7" s="67">
        <v>1.593105214E9</v>
      </c>
      <c r="F7" s="68">
        <f>IFERROR(__xludf.DUMMYFUNCTION("INDEX(SPLIT(E7, char(10)), 0, 1)/86400+date(1970,1,1)"),44007.71775462963)</f>
        <v>44007.71775</v>
      </c>
      <c r="G7" s="7" t="s">
        <v>867</v>
      </c>
      <c r="H7" s="84" t="s">
        <v>868</v>
      </c>
      <c r="I7" s="7" t="s">
        <v>14</v>
      </c>
      <c r="J7" s="5"/>
      <c r="K7" s="5"/>
      <c r="L7" s="5"/>
      <c r="M7" s="5"/>
      <c r="N7" s="5"/>
      <c r="O7" s="5"/>
      <c r="P7" s="5"/>
      <c r="Q7" s="5"/>
      <c r="R7" s="5"/>
      <c r="S7" s="5"/>
      <c r="T7" s="5"/>
      <c r="U7" s="5"/>
      <c r="V7" s="5"/>
      <c r="W7" s="5"/>
      <c r="X7" s="5"/>
      <c r="Y7" s="5"/>
      <c r="Z7" s="5"/>
      <c r="AA7" s="5"/>
    </row>
    <row r="8">
      <c r="A8" s="71"/>
      <c r="B8" s="7" t="s">
        <v>15</v>
      </c>
      <c r="C8" s="67">
        <f t="shared" ref="C8:D8" si="4">SUM(C5:C6)</f>
        <v>22</v>
      </c>
      <c r="D8" s="17">
        <f t="shared" si="4"/>
        <v>0.6285714286</v>
      </c>
      <c r="E8" s="67">
        <v>1.593105333E9</v>
      </c>
      <c r="F8" s="68">
        <f>IFERROR(__xludf.DUMMYFUNCTION("INDEX(SPLIT(E8, char(10)), 0, 1)/86400+date(1970,1,1)"),44007.71913194444)</f>
        <v>44007.71913</v>
      </c>
      <c r="G8" s="7" t="s">
        <v>869</v>
      </c>
      <c r="H8" s="84" t="s">
        <v>870</v>
      </c>
      <c r="I8" s="7" t="s">
        <v>93</v>
      </c>
      <c r="J8" s="5"/>
      <c r="K8" s="5"/>
      <c r="L8" s="5"/>
      <c r="M8" s="5"/>
      <c r="N8" s="5"/>
      <c r="O8" s="5"/>
      <c r="P8" s="5"/>
      <c r="Q8" s="5"/>
      <c r="R8" s="5"/>
      <c r="S8" s="5"/>
      <c r="T8" s="5"/>
      <c r="U8" s="5"/>
      <c r="V8" s="5"/>
      <c r="W8" s="5"/>
      <c r="X8" s="5"/>
      <c r="Y8" s="5"/>
      <c r="Z8" s="5"/>
      <c r="AA8" s="5"/>
    </row>
    <row r="9">
      <c r="A9" s="71"/>
      <c r="B9" s="7" t="s">
        <v>127</v>
      </c>
      <c r="C9" s="67">
        <f>SUM(C6:C7)</f>
        <v>45</v>
      </c>
      <c r="D9" s="17">
        <f>SUM(D5:D6) + D2</f>
        <v>0.6857142857</v>
      </c>
      <c r="E9" s="67">
        <v>1.593105559E9</v>
      </c>
      <c r="F9" s="68">
        <f>IFERROR(__xludf.DUMMYFUNCTION("INDEX(SPLIT(E9, char(10)), 0, 1)/86400+date(1970,1,1)"),44007.72174768518)</f>
        <v>44007.72175</v>
      </c>
      <c r="G9" s="7" t="s">
        <v>871</v>
      </c>
      <c r="H9" s="84" t="s">
        <v>872</v>
      </c>
      <c r="I9" s="7" t="s">
        <v>11</v>
      </c>
      <c r="J9" s="5"/>
      <c r="K9" s="5"/>
      <c r="L9" s="5"/>
      <c r="M9" s="5"/>
      <c r="N9" s="5"/>
      <c r="O9" s="5"/>
      <c r="P9" s="5"/>
      <c r="Q9" s="5"/>
      <c r="R9" s="5"/>
      <c r="S9" s="5"/>
      <c r="T9" s="5"/>
      <c r="U9" s="5"/>
      <c r="V9" s="5"/>
      <c r="W9" s="5"/>
      <c r="X9" s="5"/>
      <c r="Y9" s="5"/>
      <c r="Z9" s="5"/>
      <c r="AA9" s="5"/>
    </row>
    <row r="10">
      <c r="A10" s="71"/>
      <c r="B10" s="71"/>
      <c r="C10" s="71"/>
      <c r="D10" s="71"/>
      <c r="E10" s="67">
        <v>1.59310565E9</v>
      </c>
      <c r="F10" s="68">
        <f>IFERROR(__xludf.DUMMYFUNCTION("INDEX(SPLIT(E10, char(10)), 0, 1)/86400+date(1970,1,1)"),44007.72280092593)</f>
        <v>44007.7228</v>
      </c>
      <c r="G10" s="7" t="s">
        <v>873</v>
      </c>
      <c r="H10" s="84" t="s">
        <v>874</v>
      </c>
      <c r="I10" s="7" t="s">
        <v>13</v>
      </c>
      <c r="J10" s="5"/>
      <c r="K10" s="5"/>
      <c r="L10" s="5"/>
      <c r="M10" s="5"/>
      <c r="N10" s="5"/>
      <c r="O10" s="5"/>
      <c r="P10" s="5"/>
      <c r="Q10" s="5"/>
      <c r="R10" s="5"/>
      <c r="S10" s="5"/>
      <c r="T10" s="5"/>
      <c r="U10" s="5"/>
      <c r="V10" s="5"/>
      <c r="W10" s="5"/>
      <c r="X10" s="5"/>
      <c r="Y10" s="5"/>
      <c r="Z10" s="5"/>
      <c r="AA10" s="5"/>
    </row>
    <row r="11">
      <c r="A11" s="71"/>
      <c r="B11" s="71"/>
      <c r="C11" s="71"/>
      <c r="D11" s="71"/>
      <c r="E11" s="67">
        <v>1.593105741E9</v>
      </c>
      <c r="F11" s="68">
        <f>IFERROR(__xludf.DUMMYFUNCTION("INDEX(SPLIT(E11, char(10)), 0, 1)/86400+date(1970,1,1)"),44007.72385416667)</f>
        <v>44007.72385</v>
      </c>
      <c r="G11" s="7" t="s">
        <v>875</v>
      </c>
      <c r="H11" s="84" t="s">
        <v>876</v>
      </c>
      <c r="I11" s="7" t="s">
        <v>14</v>
      </c>
      <c r="J11" s="5"/>
      <c r="K11" s="5"/>
      <c r="L11" s="5"/>
      <c r="M11" s="5"/>
      <c r="N11" s="5"/>
      <c r="O11" s="5"/>
      <c r="P11" s="5"/>
      <c r="Q11" s="5"/>
      <c r="R11" s="5"/>
      <c r="S11" s="5"/>
      <c r="T11" s="5"/>
      <c r="U11" s="5"/>
      <c r="V11" s="5"/>
      <c r="W11" s="5"/>
      <c r="X11" s="5"/>
      <c r="Y11" s="5"/>
      <c r="Z11" s="5"/>
      <c r="AA11" s="5"/>
    </row>
    <row r="12">
      <c r="A12" s="1" t="s">
        <v>134</v>
      </c>
      <c r="B12" s="72" t="s">
        <v>877</v>
      </c>
      <c r="C12" s="71"/>
      <c r="D12" s="71"/>
      <c r="E12" s="67">
        <v>1.593105842E9</v>
      </c>
      <c r="F12" s="68">
        <f>IFERROR(__xludf.DUMMYFUNCTION("INDEX(SPLIT(E12, char(10)), 0, 1)/86400+date(1970,1,1)"),44007.725023148145)</f>
        <v>44007.72502</v>
      </c>
      <c r="G12" s="7" t="s">
        <v>878</v>
      </c>
      <c r="H12" s="84" t="s">
        <v>879</v>
      </c>
      <c r="I12" s="7" t="s">
        <v>11</v>
      </c>
      <c r="J12" s="5"/>
      <c r="K12" s="5"/>
      <c r="L12" s="5"/>
      <c r="M12" s="5"/>
      <c r="N12" s="5"/>
      <c r="O12" s="5"/>
      <c r="P12" s="5"/>
      <c r="Q12" s="5"/>
      <c r="R12" s="5"/>
      <c r="S12" s="5"/>
      <c r="T12" s="5"/>
      <c r="U12" s="5"/>
      <c r="V12" s="5"/>
      <c r="W12" s="5"/>
      <c r="X12" s="5"/>
      <c r="Y12" s="5"/>
      <c r="Z12" s="5"/>
      <c r="AA12" s="5"/>
    </row>
    <row r="13">
      <c r="A13" s="1" t="s">
        <v>138</v>
      </c>
      <c r="B13" s="71"/>
      <c r="C13" s="1" t="s">
        <v>101</v>
      </c>
      <c r="D13" s="1" t="s">
        <v>102</v>
      </c>
      <c r="E13" s="67">
        <v>1.593105932E9</v>
      </c>
      <c r="F13" s="68">
        <f>IFERROR(__xludf.DUMMYFUNCTION("INDEX(SPLIT(E13, char(10)), 0, 1)/86400+date(1970,1,1)"),44007.726064814815)</f>
        <v>44007.72606</v>
      </c>
      <c r="G13" s="7" t="s">
        <v>880</v>
      </c>
      <c r="H13" s="84" t="s">
        <v>881</v>
      </c>
      <c r="I13" s="7" t="s">
        <v>14</v>
      </c>
      <c r="J13" s="5"/>
      <c r="K13" s="5"/>
      <c r="L13" s="5"/>
      <c r="M13" s="5"/>
      <c r="N13" s="5"/>
      <c r="O13" s="5"/>
      <c r="P13" s="5"/>
      <c r="Q13" s="5"/>
      <c r="R13" s="5"/>
      <c r="S13" s="5"/>
      <c r="T13" s="5"/>
      <c r="U13" s="5"/>
      <c r="V13" s="5"/>
      <c r="W13" s="5"/>
      <c r="X13" s="5"/>
      <c r="Y13" s="5"/>
      <c r="Z13" s="5"/>
      <c r="AA13" s="5"/>
    </row>
    <row r="14">
      <c r="A14" s="7" t="s">
        <v>141</v>
      </c>
      <c r="B14" s="7" t="s">
        <v>142</v>
      </c>
      <c r="C14" s="23">
        <f t="shared" ref="C14:C17" si="5">COUNTIF($A$19:$A1000, A14)</f>
        <v>3</v>
      </c>
      <c r="D14" s="17">
        <f>IFERROR(__xludf.DUMMYFUNCTION("IF(C14, COUNTIF(FILTER($D$19:$D1000, $A$19:$A1000=A14), TRUE)/C14, 0)"),1.0)</f>
        <v>1</v>
      </c>
      <c r="E14" s="67">
        <v>1.593106498E9</v>
      </c>
      <c r="F14" s="68">
        <f>IFERROR(__xludf.DUMMYFUNCTION("INDEX(SPLIT(E14, char(10)), 0, 1)/86400+date(1970,1,1)"),44007.73261574074)</f>
        <v>44007.73262</v>
      </c>
      <c r="G14" s="7" t="s">
        <v>882</v>
      </c>
      <c r="H14" s="84" t="s">
        <v>883</v>
      </c>
      <c r="I14" s="7" t="s">
        <v>12</v>
      </c>
      <c r="J14" s="5"/>
      <c r="K14" s="5"/>
      <c r="L14" s="5"/>
      <c r="M14" s="5"/>
      <c r="N14" s="5"/>
      <c r="O14" s="5"/>
      <c r="P14" s="5"/>
      <c r="Q14" s="5"/>
      <c r="R14" s="5"/>
      <c r="S14" s="5"/>
      <c r="T14" s="5"/>
      <c r="U14" s="5"/>
      <c r="V14" s="5"/>
      <c r="W14" s="5"/>
      <c r="X14" s="5"/>
      <c r="Y14" s="5"/>
      <c r="Z14" s="5"/>
      <c r="AA14" s="5"/>
    </row>
    <row r="15">
      <c r="A15" s="7" t="s">
        <v>3</v>
      </c>
      <c r="B15" s="7" t="s">
        <v>145</v>
      </c>
      <c r="C15" s="23">
        <f t="shared" si="5"/>
        <v>3</v>
      </c>
      <c r="D15" s="17">
        <f>IFERROR(__xludf.DUMMYFUNCTION("IF(C15, COUNTIF(FILTER($D$19:$D1000, $A$19:$A1000=A15), TRUE)/C15, 0)"),0.6666666666666666)</f>
        <v>0.6666666667</v>
      </c>
      <c r="E15" s="67">
        <v>1.593106608E9</v>
      </c>
      <c r="F15" s="68">
        <f>IFERROR(__xludf.DUMMYFUNCTION("INDEX(SPLIT(E15, char(10)), 0, 1)/86400+date(1970,1,1)"),44007.73388888889)</f>
        <v>44007.73389</v>
      </c>
      <c r="G15" s="7" t="s">
        <v>884</v>
      </c>
      <c r="H15" s="84" t="s">
        <v>885</v>
      </c>
      <c r="I15" s="7" t="s">
        <v>12</v>
      </c>
      <c r="J15" s="5"/>
      <c r="K15" s="5"/>
      <c r="L15" s="5"/>
      <c r="M15" s="5"/>
      <c r="N15" s="5"/>
      <c r="O15" s="5"/>
      <c r="P15" s="5"/>
      <c r="Q15" s="5"/>
      <c r="R15" s="5"/>
      <c r="S15" s="5"/>
      <c r="T15" s="5"/>
      <c r="U15" s="5"/>
      <c r="V15" s="5"/>
      <c r="W15" s="5"/>
      <c r="X15" s="5"/>
      <c r="Y15" s="5"/>
      <c r="Z15" s="5"/>
      <c r="AA15" s="5"/>
    </row>
    <row r="16">
      <c r="A16" s="7" t="s">
        <v>4</v>
      </c>
      <c r="B16" s="7" t="s">
        <v>148</v>
      </c>
      <c r="C16" s="23">
        <f t="shared" si="5"/>
        <v>4</v>
      </c>
      <c r="D16" s="17">
        <f>IFERROR(__xludf.DUMMYFUNCTION("IF(C16, COUNTIF(FILTER($D$19:$D1000, $A$19:$A1000=A16), TRUE)/C16, 0)"),0.5)</f>
        <v>0.5</v>
      </c>
      <c r="E16" s="67">
        <v>1.593106945E9</v>
      </c>
      <c r="F16" s="68">
        <f>IFERROR(__xludf.DUMMYFUNCTION("INDEX(SPLIT(E16, char(10)), 0, 1)/86400+date(1970,1,1)"),44007.73778935186)</f>
        <v>44007.73779</v>
      </c>
      <c r="G16" s="7" t="s">
        <v>886</v>
      </c>
      <c r="H16" s="84" t="s">
        <v>887</v>
      </c>
      <c r="I16" s="7" t="s">
        <v>12</v>
      </c>
      <c r="J16" s="5"/>
      <c r="K16" s="5"/>
      <c r="L16" s="5"/>
      <c r="M16" s="5"/>
      <c r="N16" s="5"/>
      <c r="O16" s="5"/>
      <c r="P16" s="5"/>
      <c r="Q16" s="5"/>
      <c r="R16" s="5"/>
      <c r="S16" s="5"/>
      <c r="T16" s="5"/>
      <c r="U16" s="5"/>
      <c r="V16" s="5"/>
      <c r="W16" s="5"/>
      <c r="X16" s="5"/>
      <c r="Y16" s="5"/>
      <c r="Z16" s="5"/>
      <c r="AA16" s="5"/>
    </row>
    <row r="17">
      <c r="A17" s="7" t="s">
        <v>5</v>
      </c>
      <c r="B17" s="7" t="s">
        <v>151</v>
      </c>
      <c r="C17" s="23">
        <f t="shared" si="5"/>
        <v>8</v>
      </c>
      <c r="D17" s="17">
        <f>IFERROR(__xludf.DUMMYFUNCTION("IF(C17, COUNTIF(FILTER($D$19:$D1000, $A$19:$A1000=A17), TRUE)/C17, 0)"),0.75)</f>
        <v>0.75</v>
      </c>
      <c r="E17" s="67">
        <v>1.5931071E9</v>
      </c>
      <c r="F17" s="68">
        <f>IFERROR(__xludf.DUMMYFUNCTION("INDEX(SPLIT(E17, char(10)), 0, 1)/86400+date(1970,1,1)"),44007.73958333333)</f>
        <v>44007.73958</v>
      </c>
      <c r="G17" s="7" t="s">
        <v>888</v>
      </c>
      <c r="H17" s="84" t="s">
        <v>889</v>
      </c>
      <c r="I17" s="7" t="s">
        <v>14</v>
      </c>
      <c r="J17" s="5"/>
      <c r="K17" s="5"/>
      <c r="L17" s="5"/>
      <c r="M17" s="5"/>
      <c r="N17" s="5"/>
      <c r="O17" s="5"/>
      <c r="P17" s="5"/>
      <c r="Q17" s="5"/>
      <c r="R17" s="5"/>
      <c r="S17" s="5"/>
      <c r="T17" s="5"/>
      <c r="U17" s="5"/>
      <c r="V17" s="5"/>
      <c r="W17" s="5"/>
      <c r="X17" s="5"/>
      <c r="Y17" s="5"/>
      <c r="Z17" s="5"/>
      <c r="AA17" s="5"/>
    </row>
    <row r="18">
      <c r="A18" s="71"/>
      <c r="B18" s="1" t="s">
        <v>6</v>
      </c>
      <c r="C18" s="23">
        <f>SUM(C14:C17)</f>
        <v>18</v>
      </c>
      <c r="D18" s="17">
        <f>COUNTIF($D$19:$D1000, TRUE)/SUM($C$14:$C$17)</f>
        <v>0.7222222222</v>
      </c>
      <c r="E18" s="67">
        <v>1.593107327E9</v>
      </c>
      <c r="F18" s="68">
        <f>IFERROR(__xludf.DUMMYFUNCTION("INDEX(SPLIT(E18, char(10)), 0, 1)/86400+date(1970,1,1)"),44007.74221064815)</f>
        <v>44007.74221</v>
      </c>
      <c r="G18" s="7" t="s">
        <v>890</v>
      </c>
      <c r="H18" s="84" t="s">
        <v>891</v>
      </c>
      <c r="I18" s="46" t="s">
        <v>14</v>
      </c>
      <c r="J18" s="5"/>
      <c r="K18" s="5"/>
      <c r="L18" s="5"/>
      <c r="M18" s="5"/>
      <c r="N18" s="5"/>
      <c r="O18" s="5"/>
      <c r="P18" s="5"/>
      <c r="Q18" s="5"/>
      <c r="R18" s="5"/>
      <c r="S18" s="5"/>
      <c r="T18" s="5"/>
      <c r="U18" s="5"/>
      <c r="V18" s="5"/>
      <c r="W18" s="5"/>
      <c r="X18" s="5"/>
      <c r="Y18" s="5"/>
      <c r="Z18" s="5"/>
      <c r="AA18" s="5"/>
    </row>
    <row r="19">
      <c r="A19" s="7" t="s">
        <v>4</v>
      </c>
      <c r="B19" s="7" t="s">
        <v>161</v>
      </c>
      <c r="C19" s="67">
        <v>1.0</v>
      </c>
      <c r="D19" s="74" t="b">
        <v>0</v>
      </c>
      <c r="E19" s="67">
        <v>1.593107461E9</v>
      </c>
      <c r="F19" s="68">
        <f>IFERROR(__xludf.DUMMYFUNCTION("INDEX(SPLIT(E19, char(10)), 0, 1)/86400+date(1970,1,1)"),44007.74376157408)</f>
        <v>44007.74376</v>
      </c>
      <c r="G19" s="7" t="s">
        <v>498</v>
      </c>
      <c r="H19" s="84" t="s">
        <v>892</v>
      </c>
      <c r="I19" s="7" t="s">
        <v>12</v>
      </c>
      <c r="J19" s="5"/>
      <c r="K19" s="5"/>
      <c r="L19" s="5"/>
      <c r="M19" s="5"/>
      <c r="N19" s="5"/>
      <c r="O19" s="5"/>
      <c r="P19" s="5"/>
      <c r="Q19" s="5"/>
      <c r="R19" s="5"/>
      <c r="S19" s="5"/>
      <c r="T19" s="5"/>
      <c r="U19" s="5"/>
      <c r="V19" s="5"/>
      <c r="W19" s="5"/>
      <c r="X19" s="5"/>
      <c r="Y19" s="5"/>
      <c r="Z19" s="5"/>
      <c r="AA19" s="5"/>
    </row>
    <row r="20">
      <c r="A20" s="7" t="s">
        <v>141</v>
      </c>
      <c r="B20" s="7" t="s">
        <v>893</v>
      </c>
      <c r="C20" s="67">
        <v>8.0</v>
      </c>
      <c r="D20" s="74" t="b">
        <v>1</v>
      </c>
      <c r="E20" s="67">
        <v>1.593108171E9</v>
      </c>
      <c r="F20" s="68">
        <f>IFERROR(__xludf.DUMMYFUNCTION("INDEX(SPLIT(E20, char(10)), 0, 1)/86400+date(1970,1,1)"),44007.75197916667)</f>
        <v>44007.75198</v>
      </c>
      <c r="G20" s="7" t="s">
        <v>894</v>
      </c>
      <c r="H20" s="84" t="s">
        <v>895</v>
      </c>
      <c r="I20" s="7" t="s">
        <v>13</v>
      </c>
      <c r="J20" s="5"/>
      <c r="K20" s="5"/>
      <c r="L20" s="5"/>
      <c r="M20" s="5"/>
      <c r="N20" s="5"/>
      <c r="O20" s="5"/>
      <c r="P20" s="5"/>
      <c r="Q20" s="5"/>
      <c r="R20" s="5"/>
      <c r="S20" s="5"/>
      <c r="T20" s="5"/>
      <c r="U20" s="5"/>
      <c r="V20" s="5"/>
      <c r="W20" s="5"/>
      <c r="X20" s="5"/>
      <c r="Y20" s="5"/>
      <c r="Z20" s="5"/>
      <c r="AA20" s="5"/>
    </row>
    <row r="21">
      <c r="A21" s="7" t="s">
        <v>3</v>
      </c>
      <c r="B21" s="7" t="s">
        <v>896</v>
      </c>
      <c r="C21" s="67">
        <v>11.0</v>
      </c>
      <c r="D21" s="74" t="b">
        <v>1</v>
      </c>
      <c r="E21" s="67">
        <v>1.593108314E9</v>
      </c>
      <c r="F21" s="68">
        <f>IFERROR(__xludf.DUMMYFUNCTION("INDEX(SPLIT(E21, char(10)), 0, 1)/86400+date(1970,1,1)"),44007.75363425926)</f>
        <v>44007.75363</v>
      </c>
      <c r="G21" s="7" t="s">
        <v>897</v>
      </c>
      <c r="H21" s="84" t="s">
        <v>898</v>
      </c>
      <c r="I21" s="7" t="s">
        <v>13</v>
      </c>
      <c r="J21" s="5"/>
      <c r="K21" s="5"/>
      <c r="L21" s="5"/>
      <c r="M21" s="5"/>
      <c r="N21" s="5"/>
      <c r="O21" s="5"/>
      <c r="P21" s="5"/>
      <c r="Q21" s="5"/>
      <c r="R21" s="5"/>
      <c r="S21" s="5"/>
      <c r="T21" s="5"/>
      <c r="U21" s="5"/>
      <c r="V21" s="5"/>
      <c r="W21" s="5"/>
      <c r="X21" s="5"/>
      <c r="Y21" s="5"/>
      <c r="Z21" s="5"/>
      <c r="AA21" s="5"/>
    </row>
    <row r="22">
      <c r="A22" s="7" t="s">
        <v>141</v>
      </c>
      <c r="B22" s="7" t="s">
        <v>899</v>
      </c>
      <c r="C22" s="67">
        <v>20.0</v>
      </c>
      <c r="D22" s="74" t="b">
        <v>1</v>
      </c>
      <c r="E22" s="67">
        <v>1.593108444E9</v>
      </c>
      <c r="F22" s="68">
        <f>IFERROR(__xludf.DUMMYFUNCTION("INDEX(SPLIT(E22, char(10)), 0, 1)/86400+date(1970,1,1)"),44007.75513888889)</f>
        <v>44007.75514</v>
      </c>
      <c r="G22" s="7" t="s">
        <v>900</v>
      </c>
      <c r="H22" s="84" t="s">
        <v>901</v>
      </c>
      <c r="I22" s="46" t="s">
        <v>13</v>
      </c>
      <c r="J22" s="5"/>
      <c r="K22" s="5"/>
      <c r="L22" s="5"/>
      <c r="M22" s="5"/>
      <c r="N22" s="5"/>
      <c r="O22" s="5"/>
      <c r="P22" s="5"/>
      <c r="Q22" s="5"/>
      <c r="R22" s="5"/>
      <c r="S22" s="5"/>
      <c r="T22" s="5"/>
      <c r="U22" s="5"/>
      <c r="V22" s="5"/>
      <c r="W22" s="5"/>
      <c r="X22" s="5"/>
      <c r="Y22" s="5"/>
      <c r="Z22" s="5"/>
      <c r="AA22" s="5"/>
    </row>
    <row r="23">
      <c r="A23" s="7" t="s">
        <v>4</v>
      </c>
      <c r="B23" s="7" t="s">
        <v>167</v>
      </c>
      <c r="C23" s="67">
        <v>45.0</v>
      </c>
      <c r="D23" s="79" t="b">
        <v>0</v>
      </c>
      <c r="E23" s="67">
        <v>1.593108857E9</v>
      </c>
      <c r="F23" s="68">
        <f>IFERROR(__xludf.DUMMYFUNCTION("INDEX(SPLIT(E23, char(10)), 0, 1)/86400+date(1970,1,1)"),44007.75991898148)</f>
        <v>44007.75992</v>
      </c>
      <c r="G23" s="7" t="s">
        <v>902</v>
      </c>
      <c r="H23" s="84" t="s">
        <v>903</v>
      </c>
      <c r="I23" s="7" t="s">
        <v>14</v>
      </c>
      <c r="J23" s="5"/>
      <c r="K23" s="5"/>
      <c r="L23" s="5"/>
      <c r="M23" s="5"/>
      <c r="N23" s="5"/>
      <c r="O23" s="5"/>
      <c r="P23" s="5"/>
      <c r="Q23" s="5"/>
      <c r="R23" s="5"/>
      <c r="S23" s="5"/>
      <c r="T23" s="5"/>
      <c r="U23" s="5"/>
      <c r="V23" s="5"/>
      <c r="W23" s="5"/>
      <c r="X23" s="5"/>
      <c r="Y23" s="5"/>
      <c r="Z23" s="5"/>
      <c r="AA23" s="5"/>
    </row>
    <row r="24">
      <c r="A24" s="7" t="s">
        <v>4</v>
      </c>
      <c r="B24" s="7" t="s">
        <v>170</v>
      </c>
      <c r="C24" s="67">
        <v>45.0</v>
      </c>
      <c r="D24" s="79" t="b">
        <v>1</v>
      </c>
      <c r="E24" s="67">
        <v>1.593109334E9</v>
      </c>
      <c r="F24" s="68">
        <f>IFERROR(__xludf.DUMMYFUNCTION("INDEX(SPLIT(E24, char(10)), 0, 1)/86400+date(1970,1,1)"),44007.765439814815)</f>
        <v>44007.76544</v>
      </c>
      <c r="G24" s="7" t="s">
        <v>904</v>
      </c>
      <c r="H24" s="84" t="s">
        <v>905</v>
      </c>
      <c r="I24" s="7" t="s">
        <v>13</v>
      </c>
      <c r="J24" s="5"/>
      <c r="K24" s="5"/>
      <c r="L24" s="5"/>
      <c r="M24" s="5"/>
      <c r="N24" s="5"/>
      <c r="O24" s="5"/>
      <c r="P24" s="5"/>
      <c r="Q24" s="5"/>
      <c r="R24" s="5"/>
      <c r="S24" s="5"/>
      <c r="T24" s="5"/>
      <c r="U24" s="5"/>
      <c r="V24" s="5"/>
      <c r="W24" s="5"/>
      <c r="X24" s="5"/>
      <c r="Y24" s="5"/>
      <c r="Z24" s="5"/>
      <c r="AA24" s="5"/>
    </row>
    <row r="25">
      <c r="A25" s="7" t="s">
        <v>5</v>
      </c>
      <c r="B25" s="71" t="s">
        <v>906</v>
      </c>
      <c r="C25" s="67">
        <v>46.0</v>
      </c>
      <c r="D25" s="74" t="b">
        <v>1</v>
      </c>
      <c r="E25" s="67">
        <v>1.593109436E9</v>
      </c>
      <c r="F25" s="68">
        <f>IFERROR(__xludf.DUMMYFUNCTION("INDEX(SPLIT(E25, char(10)), 0, 1)/86400+date(1970,1,1)"),44007.76662037037)</f>
        <v>44007.76662</v>
      </c>
      <c r="G25" s="7" t="s">
        <v>671</v>
      </c>
      <c r="H25" s="84" t="s">
        <v>907</v>
      </c>
      <c r="I25" s="7" t="s">
        <v>93</v>
      </c>
      <c r="J25" s="5"/>
      <c r="K25" s="5"/>
      <c r="L25" s="5"/>
      <c r="M25" s="5"/>
      <c r="N25" s="5"/>
      <c r="O25" s="5"/>
      <c r="P25" s="5"/>
      <c r="Q25" s="5"/>
      <c r="R25" s="5"/>
      <c r="S25" s="5"/>
      <c r="T25" s="5"/>
      <c r="U25" s="5"/>
      <c r="V25" s="5"/>
      <c r="W25" s="5"/>
      <c r="X25" s="5"/>
      <c r="Y25" s="5"/>
      <c r="Z25" s="5"/>
      <c r="AA25" s="5"/>
    </row>
    <row r="26">
      <c r="A26" s="7" t="s">
        <v>5</v>
      </c>
      <c r="B26" s="71" t="s">
        <v>908</v>
      </c>
      <c r="C26" s="67">
        <v>46.0</v>
      </c>
      <c r="D26" s="74" t="b">
        <v>1</v>
      </c>
      <c r="E26" s="67">
        <v>1.59310956E9</v>
      </c>
      <c r="F26" s="68">
        <f>IFERROR(__xludf.DUMMYFUNCTION("INDEX(SPLIT(E26, char(10)), 0, 1)/86400+date(1970,1,1)"),44007.768055555556)</f>
        <v>44007.76806</v>
      </c>
      <c r="G26" s="7" t="s">
        <v>909</v>
      </c>
      <c r="H26" s="84" t="s">
        <v>910</v>
      </c>
      <c r="I26" s="7" t="s">
        <v>12</v>
      </c>
      <c r="J26" s="5"/>
      <c r="K26" s="5"/>
      <c r="L26" s="5"/>
      <c r="M26" s="5"/>
      <c r="N26" s="5"/>
      <c r="O26" s="5"/>
      <c r="P26" s="5"/>
      <c r="Q26" s="5"/>
      <c r="R26" s="5"/>
      <c r="S26" s="5"/>
      <c r="T26" s="5"/>
      <c r="U26" s="5"/>
      <c r="V26" s="5"/>
      <c r="W26" s="5"/>
      <c r="X26" s="5"/>
      <c r="Y26" s="5"/>
      <c r="Z26" s="5"/>
      <c r="AA26" s="5"/>
    </row>
    <row r="27">
      <c r="A27" s="7" t="s">
        <v>3</v>
      </c>
      <c r="B27" s="71" t="s">
        <v>911</v>
      </c>
      <c r="C27" s="67">
        <v>47.0</v>
      </c>
      <c r="D27" s="79" t="b">
        <v>0</v>
      </c>
      <c r="E27" s="67">
        <v>1.593109691E9</v>
      </c>
      <c r="F27" s="68">
        <f>IFERROR(__xludf.DUMMYFUNCTION("INDEX(SPLIT(E27, char(10)), 0, 1)/86400+date(1970,1,1)"),44007.76957175926)</f>
        <v>44007.76957</v>
      </c>
      <c r="G27" s="7" t="s">
        <v>912</v>
      </c>
      <c r="H27" s="84" t="s">
        <v>913</v>
      </c>
      <c r="I27" s="7" t="s">
        <v>13</v>
      </c>
      <c r="J27" s="5"/>
      <c r="K27" s="5"/>
      <c r="L27" s="5"/>
      <c r="M27" s="5"/>
      <c r="N27" s="5"/>
      <c r="O27" s="5"/>
      <c r="P27" s="5"/>
      <c r="Q27" s="5"/>
      <c r="R27" s="5"/>
      <c r="S27" s="5"/>
      <c r="T27" s="5"/>
      <c r="U27" s="5"/>
      <c r="V27" s="5"/>
      <c r="W27" s="5"/>
      <c r="X27" s="5"/>
      <c r="Y27" s="5"/>
      <c r="Z27" s="5"/>
      <c r="AA27" s="5"/>
    </row>
    <row r="28">
      <c r="A28" s="7" t="s">
        <v>5</v>
      </c>
      <c r="B28" s="71" t="s">
        <v>914</v>
      </c>
      <c r="C28" s="67">
        <v>64.0</v>
      </c>
      <c r="D28" s="74" t="b">
        <v>1</v>
      </c>
      <c r="E28" s="67">
        <v>1.593109788E9</v>
      </c>
      <c r="F28" s="68">
        <f>IFERROR(__xludf.DUMMYFUNCTION("INDEX(SPLIT(E28, char(10)), 0, 1)/86400+date(1970,1,1)"),44007.77069444444)</f>
        <v>44007.77069</v>
      </c>
      <c r="G28" s="7" t="s">
        <v>915</v>
      </c>
      <c r="H28" s="84" t="s">
        <v>916</v>
      </c>
      <c r="I28" s="7" t="s">
        <v>14</v>
      </c>
      <c r="J28" s="5"/>
      <c r="K28" s="5"/>
      <c r="L28" s="5"/>
      <c r="M28" s="5"/>
      <c r="N28" s="5"/>
      <c r="O28" s="5"/>
      <c r="P28" s="5"/>
      <c r="Q28" s="5"/>
      <c r="R28" s="5"/>
      <c r="S28" s="5"/>
      <c r="T28" s="5"/>
      <c r="U28" s="5"/>
      <c r="V28" s="5"/>
      <c r="W28" s="5"/>
      <c r="X28" s="5"/>
      <c r="Y28" s="5"/>
      <c r="Z28" s="5"/>
      <c r="AA28" s="5"/>
    </row>
    <row r="29">
      <c r="A29" s="7" t="s">
        <v>5</v>
      </c>
      <c r="B29" s="71" t="s">
        <v>917</v>
      </c>
      <c r="C29" s="67">
        <v>70.0</v>
      </c>
      <c r="D29" s="74" t="b">
        <v>1</v>
      </c>
      <c r="E29" s="67">
        <v>1.593110286E9</v>
      </c>
      <c r="F29" s="68">
        <f>IFERROR(__xludf.DUMMYFUNCTION("INDEX(SPLIT(E29, char(10)), 0, 1)/86400+date(1970,1,1)"),44007.776458333334)</f>
        <v>44007.77646</v>
      </c>
      <c r="G29" s="7" t="s">
        <v>918</v>
      </c>
      <c r="H29" s="84" t="s">
        <v>919</v>
      </c>
      <c r="I29" s="7" t="s">
        <v>13</v>
      </c>
      <c r="J29" s="5"/>
      <c r="K29" s="5"/>
      <c r="L29" s="5"/>
      <c r="M29" s="5"/>
      <c r="N29" s="5"/>
      <c r="O29" s="5"/>
      <c r="P29" s="5"/>
      <c r="Q29" s="5"/>
      <c r="R29" s="5"/>
      <c r="S29" s="5"/>
      <c r="T29" s="5"/>
      <c r="U29" s="5"/>
      <c r="V29" s="5"/>
      <c r="W29" s="5"/>
      <c r="X29" s="5"/>
      <c r="Y29" s="5"/>
      <c r="Z29" s="5"/>
      <c r="AA29" s="5"/>
    </row>
    <row r="30">
      <c r="A30" s="7" t="s">
        <v>5</v>
      </c>
      <c r="B30" s="71" t="s">
        <v>920</v>
      </c>
      <c r="C30" s="67">
        <v>79.0</v>
      </c>
      <c r="D30" s="74" t="b">
        <v>1</v>
      </c>
      <c r="E30" s="67">
        <v>1.593110419E9</v>
      </c>
      <c r="F30" s="68">
        <f>IFERROR(__xludf.DUMMYFUNCTION("INDEX(SPLIT(E30, char(10)), 0, 1)/86400+date(1970,1,1)"),44007.77799768519)</f>
        <v>44007.778</v>
      </c>
      <c r="G30" s="7" t="s">
        <v>921</v>
      </c>
      <c r="H30" s="84" t="s">
        <v>922</v>
      </c>
      <c r="I30" s="7" t="s">
        <v>14</v>
      </c>
      <c r="J30" s="5"/>
      <c r="K30" s="5"/>
      <c r="L30" s="5"/>
      <c r="M30" s="5"/>
      <c r="N30" s="5"/>
      <c r="O30" s="5"/>
      <c r="P30" s="5"/>
      <c r="Q30" s="5"/>
      <c r="R30" s="5"/>
      <c r="S30" s="5"/>
      <c r="T30" s="5"/>
      <c r="U30" s="5"/>
      <c r="V30" s="5"/>
      <c r="W30" s="5"/>
      <c r="X30" s="5"/>
      <c r="Y30" s="5"/>
      <c r="Z30" s="5"/>
      <c r="AA30" s="5"/>
    </row>
    <row r="31">
      <c r="A31" s="7" t="s">
        <v>5</v>
      </c>
      <c r="B31" s="71" t="s">
        <v>923</v>
      </c>
      <c r="C31" s="67">
        <v>80.0</v>
      </c>
      <c r="D31" s="74" t="b">
        <v>1</v>
      </c>
      <c r="E31" s="67">
        <v>1.593110628E9</v>
      </c>
      <c r="F31" s="68">
        <f>IFERROR(__xludf.DUMMYFUNCTION("INDEX(SPLIT(E31, char(10)), 0, 1)/86400+date(1970,1,1)"),44007.78041666667)</f>
        <v>44007.78042</v>
      </c>
      <c r="G31" s="7" t="s">
        <v>924</v>
      </c>
      <c r="H31" s="84" t="s">
        <v>925</v>
      </c>
      <c r="I31" s="7" t="s">
        <v>13</v>
      </c>
      <c r="J31" s="5"/>
      <c r="K31" s="5"/>
      <c r="L31" s="5"/>
      <c r="M31" s="5"/>
      <c r="N31" s="5"/>
      <c r="O31" s="5"/>
      <c r="P31" s="5"/>
      <c r="Q31" s="5"/>
      <c r="R31" s="5"/>
      <c r="S31" s="5"/>
      <c r="T31" s="5"/>
      <c r="U31" s="5"/>
      <c r="V31" s="5"/>
      <c r="W31" s="5"/>
      <c r="X31" s="5"/>
      <c r="Y31" s="5"/>
      <c r="Z31" s="5"/>
      <c r="AA31" s="5"/>
    </row>
    <row r="32">
      <c r="A32" s="7" t="s">
        <v>3</v>
      </c>
      <c r="B32" s="71" t="s">
        <v>926</v>
      </c>
      <c r="C32" s="67">
        <v>85.0</v>
      </c>
      <c r="D32" s="74" t="b">
        <v>1</v>
      </c>
      <c r="E32" s="67">
        <v>1.593110737E9</v>
      </c>
      <c r="F32" s="68">
        <f>IFERROR(__xludf.DUMMYFUNCTION("INDEX(SPLIT(E32, char(10)), 0, 1)/86400+date(1970,1,1)"),44007.78167824074)</f>
        <v>44007.78168</v>
      </c>
      <c r="G32" s="7" t="s">
        <v>927</v>
      </c>
      <c r="H32" s="84" t="s">
        <v>928</v>
      </c>
      <c r="I32" s="7" t="s">
        <v>14</v>
      </c>
      <c r="J32" s="5"/>
      <c r="K32" s="5"/>
      <c r="L32" s="5"/>
      <c r="M32" s="5"/>
      <c r="N32" s="5"/>
      <c r="O32" s="5"/>
      <c r="P32" s="5"/>
      <c r="Q32" s="5"/>
      <c r="R32" s="5"/>
      <c r="S32" s="5"/>
      <c r="T32" s="5"/>
      <c r="U32" s="5"/>
      <c r="V32" s="5"/>
      <c r="W32" s="5"/>
      <c r="X32" s="5"/>
      <c r="Y32" s="5"/>
      <c r="Z32" s="5"/>
      <c r="AA32" s="5"/>
    </row>
    <row r="33">
      <c r="A33" s="7" t="s">
        <v>141</v>
      </c>
      <c r="B33" s="71" t="s">
        <v>929</v>
      </c>
      <c r="C33" s="67">
        <v>86.0</v>
      </c>
      <c r="D33" s="74" t="b">
        <v>1</v>
      </c>
      <c r="E33" s="67">
        <v>1.593110839E9</v>
      </c>
      <c r="F33" s="68">
        <f>IFERROR(__xludf.DUMMYFUNCTION("INDEX(SPLIT(E33, char(10)), 0, 1)/86400+date(1970,1,1)"),44007.7828587963)</f>
        <v>44007.78286</v>
      </c>
      <c r="G33" s="7" t="s">
        <v>930</v>
      </c>
      <c r="H33" s="84" t="s">
        <v>931</v>
      </c>
      <c r="I33" s="7" t="s">
        <v>13</v>
      </c>
      <c r="J33" s="5"/>
      <c r="K33" s="5"/>
      <c r="L33" s="5"/>
      <c r="M33" s="5"/>
      <c r="N33" s="5"/>
      <c r="O33" s="5"/>
      <c r="P33" s="5"/>
      <c r="Q33" s="5"/>
      <c r="R33" s="5"/>
      <c r="S33" s="5"/>
      <c r="T33" s="5"/>
      <c r="U33" s="5"/>
      <c r="V33" s="5"/>
      <c r="W33" s="5"/>
      <c r="X33" s="5"/>
      <c r="Y33" s="5"/>
      <c r="Z33" s="5"/>
      <c r="AA33" s="5"/>
    </row>
    <row r="34">
      <c r="A34" s="7" t="s">
        <v>5</v>
      </c>
      <c r="B34" s="71" t="s">
        <v>932</v>
      </c>
      <c r="C34" s="67">
        <v>90.0</v>
      </c>
      <c r="D34" s="74" t="b">
        <v>0</v>
      </c>
      <c r="E34" s="75">
        <v>1.593110984E9</v>
      </c>
      <c r="F34" s="68">
        <f>IFERROR(__xludf.DUMMYFUNCTION("INDEX(SPLIT(E34, char(10)), 0, 1)/86400+date(1970,1,1)"),44007.784537037034)</f>
        <v>44007.78454</v>
      </c>
      <c r="G34" s="5" t="s">
        <v>933</v>
      </c>
      <c r="H34" s="84" t="s">
        <v>934</v>
      </c>
      <c r="I34" s="5" t="s">
        <v>11</v>
      </c>
      <c r="J34" s="5"/>
      <c r="K34" s="5"/>
      <c r="L34" s="5"/>
      <c r="M34" s="5"/>
      <c r="N34" s="5"/>
      <c r="O34" s="5"/>
      <c r="P34" s="5"/>
      <c r="Q34" s="5"/>
      <c r="R34" s="5"/>
      <c r="S34" s="5"/>
      <c r="T34" s="5"/>
      <c r="U34" s="5"/>
      <c r="V34" s="5"/>
      <c r="W34" s="5"/>
      <c r="X34" s="5"/>
      <c r="Y34" s="5"/>
      <c r="Z34" s="5"/>
      <c r="AA34" s="5"/>
    </row>
    <row r="35">
      <c r="A35" s="7" t="s">
        <v>5</v>
      </c>
      <c r="B35" s="71" t="s">
        <v>935</v>
      </c>
      <c r="C35" s="67">
        <v>90.0</v>
      </c>
      <c r="D35" s="74" t="b">
        <v>0</v>
      </c>
      <c r="E35" s="75">
        <v>1.593111142E9</v>
      </c>
      <c r="F35" s="68">
        <f>IFERROR(__xludf.DUMMYFUNCTION("INDEX(SPLIT(E35, char(10)), 0, 1)/86400+date(1970,1,1)"),44007.78636574074)</f>
        <v>44007.78637</v>
      </c>
      <c r="G35" s="5" t="s">
        <v>936</v>
      </c>
      <c r="H35" s="84" t="s">
        <v>937</v>
      </c>
      <c r="I35" s="5" t="s">
        <v>12</v>
      </c>
      <c r="J35" s="5"/>
      <c r="K35" s="5"/>
      <c r="L35" s="5"/>
      <c r="M35" s="5"/>
      <c r="N35" s="5"/>
      <c r="O35" s="5"/>
      <c r="P35" s="5"/>
      <c r="Q35" s="5"/>
      <c r="R35" s="5"/>
      <c r="S35" s="5"/>
      <c r="T35" s="5"/>
      <c r="U35" s="5"/>
      <c r="V35" s="5"/>
      <c r="W35" s="5"/>
      <c r="X35" s="5"/>
      <c r="Y35" s="5"/>
      <c r="Z35" s="5"/>
      <c r="AA35" s="5"/>
    </row>
    <row r="36">
      <c r="A36" s="7" t="s">
        <v>4</v>
      </c>
      <c r="B36" s="71" t="s">
        <v>195</v>
      </c>
      <c r="C36" s="67">
        <v>90.0</v>
      </c>
      <c r="D36" s="74" t="b">
        <v>1</v>
      </c>
      <c r="E36" s="75">
        <v>1.593111381E9</v>
      </c>
      <c r="F36" s="68">
        <f>IFERROR(__xludf.DUMMYFUNCTION("INDEX(SPLIT(E36, char(10)), 0, 1)/86400+date(1970,1,1)"),44007.789131944446)</f>
        <v>44007.78913</v>
      </c>
      <c r="G36" s="5" t="s">
        <v>938</v>
      </c>
      <c r="H36" s="84" t="s">
        <v>939</v>
      </c>
      <c r="I36" s="5" t="s">
        <v>13</v>
      </c>
      <c r="J36" s="5"/>
      <c r="K36" s="5"/>
      <c r="L36" s="5"/>
      <c r="M36" s="5"/>
      <c r="N36" s="5"/>
      <c r="O36" s="5"/>
      <c r="P36" s="5"/>
      <c r="Q36" s="5"/>
      <c r="R36" s="5"/>
      <c r="S36" s="5"/>
      <c r="T36" s="5"/>
      <c r="U36" s="5"/>
      <c r="V36" s="5"/>
      <c r="W36" s="5"/>
      <c r="X36" s="5"/>
      <c r="Y36" s="5"/>
      <c r="Z36" s="5"/>
      <c r="AA36" s="5"/>
    </row>
    <row r="37">
      <c r="A37" s="5"/>
      <c r="B37" s="71"/>
      <c r="C37" s="25"/>
      <c r="D37" s="5"/>
      <c r="E37" s="71"/>
      <c r="F37" s="76"/>
      <c r="G37" s="5"/>
      <c r="H37" s="84"/>
      <c r="I37" s="5"/>
      <c r="J37" s="5"/>
      <c r="K37" s="5"/>
      <c r="L37" s="5"/>
      <c r="M37" s="5"/>
      <c r="N37" s="5"/>
      <c r="O37" s="5"/>
      <c r="P37" s="5"/>
      <c r="Q37" s="5"/>
      <c r="R37" s="5"/>
      <c r="S37" s="5"/>
      <c r="T37" s="5"/>
      <c r="U37" s="5"/>
      <c r="V37" s="5"/>
      <c r="W37" s="5"/>
      <c r="X37" s="5"/>
      <c r="Y37" s="5"/>
      <c r="Z37" s="5"/>
      <c r="AA37" s="5"/>
    </row>
    <row r="38">
      <c r="A38" s="5"/>
      <c r="B38" s="71"/>
      <c r="C38" s="25"/>
      <c r="D38" s="5"/>
      <c r="E38" s="71"/>
      <c r="F38" s="76"/>
      <c r="G38" s="5"/>
      <c r="H38" s="84"/>
      <c r="I38" s="5"/>
      <c r="J38" s="5"/>
      <c r="K38" s="5"/>
      <c r="L38" s="5"/>
      <c r="M38" s="5"/>
      <c r="N38" s="5"/>
      <c r="O38" s="5"/>
      <c r="P38" s="5"/>
      <c r="Q38" s="5"/>
      <c r="R38" s="5"/>
      <c r="S38" s="5"/>
      <c r="T38" s="5"/>
      <c r="U38" s="5"/>
      <c r="V38" s="5"/>
      <c r="W38" s="5"/>
      <c r="X38" s="5"/>
      <c r="Y38" s="5"/>
      <c r="Z38" s="5"/>
      <c r="AA38" s="5"/>
    </row>
    <row r="39">
      <c r="A39" s="5"/>
      <c r="B39" s="71"/>
      <c r="C39" s="25"/>
      <c r="D39" s="5"/>
      <c r="E39" s="71"/>
      <c r="F39" s="76"/>
      <c r="G39" s="5"/>
      <c r="H39" s="84"/>
      <c r="I39" s="5"/>
      <c r="J39" s="5"/>
      <c r="K39" s="5"/>
      <c r="L39" s="5"/>
      <c r="M39" s="5"/>
      <c r="N39" s="5"/>
      <c r="O39" s="5"/>
      <c r="P39" s="5"/>
      <c r="Q39" s="5"/>
      <c r="R39" s="5"/>
      <c r="S39" s="5"/>
      <c r="T39" s="5"/>
      <c r="U39" s="5"/>
      <c r="V39" s="5"/>
      <c r="W39" s="5"/>
      <c r="X39" s="5"/>
      <c r="Y39" s="5"/>
      <c r="Z39" s="5"/>
      <c r="AA39" s="5"/>
    </row>
    <row r="40">
      <c r="A40" s="5"/>
      <c r="B40" s="71"/>
      <c r="C40" s="25"/>
      <c r="D40" s="5"/>
      <c r="E40" s="71"/>
      <c r="F40" s="76"/>
      <c r="G40" s="5"/>
      <c r="H40" s="84"/>
      <c r="I40" s="5"/>
      <c r="J40" s="5"/>
      <c r="K40" s="5"/>
      <c r="L40" s="5"/>
      <c r="M40" s="5"/>
      <c r="N40" s="5"/>
      <c r="O40" s="5"/>
      <c r="P40" s="5"/>
      <c r="Q40" s="5"/>
      <c r="R40" s="5"/>
      <c r="S40" s="5"/>
      <c r="T40" s="5"/>
      <c r="U40" s="5"/>
      <c r="V40" s="5"/>
      <c r="W40" s="5"/>
      <c r="X40" s="5"/>
      <c r="Y40" s="5"/>
      <c r="Z40" s="5"/>
      <c r="AA40" s="5"/>
    </row>
    <row r="41">
      <c r="A41" s="5"/>
      <c r="B41" s="71"/>
      <c r="C41" s="25"/>
      <c r="D41" s="5"/>
      <c r="E41" s="71"/>
      <c r="F41" s="76"/>
      <c r="G41" s="5"/>
      <c r="H41" s="84"/>
      <c r="I41" s="5"/>
      <c r="J41" s="5"/>
      <c r="K41" s="5"/>
      <c r="L41" s="5"/>
      <c r="M41" s="5"/>
      <c r="N41" s="5"/>
      <c r="O41" s="5"/>
      <c r="P41" s="5"/>
      <c r="Q41" s="5"/>
      <c r="R41" s="5"/>
      <c r="S41" s="5"/>
      <c r="T41" s="5"/>
      <c r="U41" s="5"/>
      <c r="V41" s="5"/>
      <c r="W41" s="5"/>
      <c r="X41" s="5"/>
      <c r="Y41" s="5"/>
      <c r="Z41" s="5"/>
      <c r="AA41" s="5"/>
    </row>
    <row r="42">
      <c r="A42" s="5"/>
      <c r="B42" s="71"/>
      <c r="C42" s="25"/>
      <c r="D42" s="5"/>
      <c r="E42" s="71"/>
      <c r="F42" s="76"/>
      <c r="G42" s="5"/>
      <c r="H42" s="84"/>
      <c r="I42" s="5"/>
      <c r="J42" s="5"/>
      <c r="K42" s="5"/>
      <c r="L42" s="5"/>
      <c r="M42" s="5"/>
      <c r="N42" s="5"/>
      <c r="O42" s="5"/>
      <c r="P42" s="5"/>
      <c r="Q42" s="5"/>
      <c r="R42" s="5"/>
      <c r="S42" s="5"/>
      <c r="T42" s="5"/>
      <c r="U42" s="5"/>
      <c r="V42" s="5"/>
      <c r="W42" s="5"/>
      <c r="X42" s="5"/>
      <c r="Y42" s="5"/>
      <c r="Z42" s="5"/>
      <c r="AA42" s="5"/>
    </row>
    <row r="43">
      <c r="A43" s="71"/>
      <c r="B43" s="71"/>
      <c r="C43" s="71"/>
      <c r="D43" s="71"/>
      <c r="E43" s="71"/>
      <c r="F43" s="76"/>
      <c r="G43" s="5"/>
      <c r="H43" s="84"/>
      <c r="I43" s="5"/>
      <c r="J43" s="5"/>
      <c r="K43" s="5"/>
      <c r="L43" s="5"/>
      <c r="M43" s="5"/>
      <c r="N43" s="5"/>
      <c r="O43" s="5"/>
      <c r="P43" s="5"/>
      <c r="Q43" s="5"/>
      <c r="R43" s="5"/>
      <c r="S43" s="5"/>
      <c r="T43" s="5"/>
      <c r="U43" s="5"/>
      <c r="V43" s="5"/>
      <c r="W43" s="5"/>
      <c r="X43" s="5"/>
      <c r="Y43" s="5"/>
      <c r="Z43" s="5"/>
      <c r="AA43" s="5"/>
    </row>
    <row r="44">
      <c r="A44" s="5"/>
      <c r="B44" s="5"/>
      <c r="C44" s="5"/>
      <c r="D44" s="5"/>
      <c r="E44" s="5"/>
      <c r="F44" s="76"/>
      <c r="G44" s="5"/>
      <c r="H44" s="84"/>
      <c r="I44" s="5"/>
      <c r="J44" s="5"/>
      <c r="K44" s="5"/>
      <c r="L44" s="5"/>
      <c r="M44" s="5"/>
      <c r="N44" s="5"/>
      <c r="O44" s="5"/>
      <c r="P44" s="5"/>
      <c r="Q44" s="5"/>
      <c r="R44" s="5"/>
      <c r="S44" s="5"/>
      <c r="T44" s="5"/>
      <c r="U44" s="5"/>
      <c r="V44" s="5"/>
      <c r="W44" s="5"/>
      <c r="X44" s="5"/>
      <c r="Y44" s="5"/>
      <c r="Z44" s="5"/>
      <c r="AA44" s="5"/>
    </row>
    <row r="45">
      <c r="A45" s="5"/>
      <c r="B45" s="5"/>
      <c r="C45" s="5"/>
      <c r="D45" s="5"/>
      <c r="E45" s="5"/>
      <c r="F45" s="76"/>
      <c r="G45" s="5"/>
      <c r="H45" s="84"/>
      <c r="I45" s="5"/>
      <c r="J45" s="5"/>
      <c r="K45" s="5"/>
      <c r="L45" s="5"/>
      <c r="M45" s="5"/>
      <c r="N45" s="5"/>
      <c r="O45" s="5"/>
      <c r="P45" s="5"/>
      <c r="Q45" s="5"/>
      <c r="R45" s="5"/>
      <c r="S45" s="5"/>
      <c r="T45" s="5"/>
      <c r="U45" s="5"/>
      <c r="V45" s="5"/>
      <c r="W45" s="5"/>
      <c r="X45" s="5"/>
      <c r="Y45" s="5"/>
      <c r="Z45" s="5"/>
      <c r="AA45" s="5"/>
    </row>
    <row r="46">
      <c r="A46" s="5"/>
      <c r="B46" s="5"/>
      <c r="C46" s="5"/>
      <c r="D46" s="5"/>
      <c r="E46" s="5"/>
      <c r="F46" s="76"/>
      <c r="G46" s="5"/>
      <c r="H46" s="84"/>
      <c r="I46" s="5"/>
      <c r="J46" s="5"/>
      <c r="K46" s="5"/>
      <c r="L46" s="5"/>
      <c r="M46" s="5"/>
      <c r="N46" s="5"/>
      <c r="O46" s="5"/>
      <c r="P46" s="5"/>
      <c r="Q46" s="5"/>
      <c r="R46" s="5"/>
      <c r="S46" s="5"/>
      <c r="T46" s="5"/>
      <c r="U46" s="5"/>
      <c r="V46" s="5"/>
      <c r="W46" s="5"/>
      <c r="X46" s="5"/>
      <c r="Y46" s="5"/>
      <c r="Z46" s="5"/>
      <c r="AA46" s="5"/>
    </row>
    <row r="47">
      <c r="A47" s="5"/>
      <c r="B47" s="5"/>
      <c r="C47" s="5"/>
      <c r="D47" s="5"/>
      <c r="E47" s="5"/>
      <c r="F47" s="76"/>
      <c r="G47" s="5"/>
      <c r="H47" s="84"/>
      <c r="I47" s="5"/>
      <c r="J47" s="5"/>
      <c r="K47" s="5"/>
      <c r="L47" s="5"/>
      <c r="M47" s="5"/>
      <c r="N47" s="5"/>
      <c r="O47" s="5"/>
      <c r="P47" s="5"/>
      <c r="Q47" s="5"/>
      <c r="R47" s="5"/>
      <c r="S47" s="5"/>
      <c r="T47" s="5"/>
      <c r="U47" s="5"/>
      <c r="V47" s="5"/>
      <c r="W47" s="5"/>
      <c r="X47" s="5"/>
      <c r="Y47" s="5"/>
      <c r="Z47" s="5"/>
      <c r="AA47" s="5"/>
    </row>
    <row r="48">
      <c r="A48" s="5"/>
      <c r="B48" s="5"/>
      <c r="C48" s="5"/>
      <c r="D48" s="5"/>
      <c r="E48" s="5"/>
      <c r="F48" s="76"/>
      <c r="G48" s="5"/>
      <c r="H48" s="84"/>
      <c r="I48" s="5"/>
      <c r="J48" s="5"/>
      <c r="K48" s="5"/>
      <c r="L48" s="5"/>
      <c r="M48" s="5"/>
      <c r="N48" s="5"/>
      <c r="O48" s="5"/>
      <c r="P48" s="5"/>
      <c r="Q48" s="5"/>
      <c r="R48" s="5"/>
      <c r="S48" s="5"/>
      <c r="T48" s="5"/>
      <c r="U48" s="5"/>
      <c r="V48" s="5"/>
      <c r="W48" s="5"/>
      <c r="X48" s="5"/>
      <c r="Y48" s="5"/>
      <c r="Z48" s="5"/>
      <c r="AA48" s="5"/>
    </row>
    <row r="49">
      <c r="A49" s="5"/>
      <c r="B49" s="5"/>
      <c r="C49" s="5"/>
      <c r="D49" s="5"/>
      <c r="E49" s="5"/>
      <c r="F49" s="76"/>
      <c r="G49" s="5"/>
      <c r="H49" s="84"/>
      <c r="I49" s="5"/>
      <c r="J49" s="5"/>
      <c r="K49" s="5"/>
      <c r="L49" s="5"/>
      <c r="M49" s="5"/>
      <c r="N49" s="5"/>
      <c r="O49" s="5"/>
      <c r="P49" s="5"/>
      <c r="Q49" s="5"/>
      <c r="R49" s="5"/>
      <c r="S49" s="5"/>
      <c r="T49" s="5"/>
      <c r="U49" s="5"/>
      <c r="V49" s="5"/>
      <c r="W49" s="5"/>
      <c r="X49" s="5"/>
      <c r="Y49" s="5"/>
      <c r="Z49" s="5"/>
      <c r="AA49" s="5"/>
    </row>
    <row r="50">
      <c r="A50" s="5"/>
      <c r="B50" s="5"/>
      <c r="C50" s="5"/>
      <c r="D50" s="5"/>
      <c r="E50" s="5"/>
      <c r="F50" s="76"/>
      <c r="G50" s="5"/>
      <c r="H50" s="84"/>
      <c r="I50" s="5"/>
      <c r="J50" s="5"/>
      <c r="K50" s="5"/>
      <c r="L50" s="5"/>
      <c r="M50" s="5"/>
      <c r="N50" s="5"/>
      <c r="O50" s="5"/>
      <c r="P50" s="5"/>
      <c r="Q50" s="5"/>
      <c r="R50" s="5"/>
      <c r="S50" s="5"/>
      <c r="T50" s="5"/>
      <c r="U50" s="5"/>
      <c r="V50" s="5"/>
      <c r="W50" s="5"/>
      <c r="X50" s="5"/>
      <c r="Y50" s="5"/>
      <c r="Z50" s="5"/>
      <c r="AA50" s="5"/>
    </row>
    <row r="51">
      <c r="A51" s="5"/>
      <c r="B51" s="5"/>
      <c r="C51" s="5"/>
      <c r="D51" s="5"/>
      <c r="E51" s="5"/>
      <c r="F51" s="76"/>
      <c r="G51" s="5"/>
      <c r="H51" s="84"/>
      <c r="I51" s="5"/>
      <c r="J51" s="5"/>
      <c r="K51" s="5"/>
      <c r="L51" s="5"/>
      <c r="M51" s="5"/>
      <c r="N51" s="5"/>
      <c r="O51" s="5"/>
      <c r="P51" s="5"/>
      <c r="Q51" s="5"/>
      <c r="R51" s="5"/>
      <c r="S51" s="5"/>
      <c r="T51" s="5"/>
      <c r="U51" s="5"/>
      <c r="V51" s="5"/>
      <c r="W51" s="5"/>
      <c r="X51" s="5"/>
      <c r="Y51" s="5"/>
      <c r="Z51" s="5"/>
      <c r="AA51" s="5"/>
    </row>
    <row r="52">
      <c r="A52" s="5"/>
      <c r="B52" s="5"/>
      <c r="C52" s="5"/>
      <c r="D52" s="5"/>
      <c r="E52" s="5"/>
      <c r="F52" s="76"/>
      <c r="G52" s="5"/>
      <c r="H52" s="84"/>
      <c r="I52" s="5"/>
      <c r="J52" s="5"/>
      <c r="K52" s="5"/>
      <c r="L52" s="5"/>
      <c r="M52" s="5"/>
      <c r="N52" s="5"/>
      <c r="O52" s="5"/>
      <c r="P52" s="5"/>
      <c r="Q52" s="5"/>
      <c r="R52" s="5"/>
      <c r="S52" s="5"/>
      <c r="T52" s="5"/>
      <c r="U52" s="5"/>
      <c r="V52" s="5"/>
      <c r="W52" s="5"/>
      <c r="X52" s="5"/>
      <c r="Y52" s="5"/>
      <c r="Z52" s="5"/>
      <c r="AA52" s="5"/>
    </row>
    <row r="53">
      <c r="A53" s="5"/>
      <c r="B53" s="5"/>
      <c r="C53" s="5"/>
      <c r="D53" s="5"/>
      <c r="E53" s="5"/>
      <c r="F53" s="76"/>
      <c r="G53" s="5"/>
      <c r="H53" s="84"/>
      <c r="I53" s="5"/>
      <c r="J53" s="5"/>
      <c r="K53" s="5"/>
      <c r="L53" s="5"/>
      <c r="M53" s="5"/>
      <c r="N53" s="5"/>
      <c r="O53" s="5"/>
      <c r="P53" s="5"/>
      <c r="Q53" s="5"/>
      <c r="R53" s="5"/>
      <c r="S53" s="5"/>
      <c r="T53" s="5"/>
      <c r="U53" s="5"/>
      <c r="V53" s="5"/>
      <c r="W53" s="5"/>
      <c r="X53" s="5"/>
      <c r="Y53" s="5"/>
      <c r="Z53" s="5"/>
      <c r="AA53" s="5"/>
    </row>
    <row r="54">
      <c r="A54" s="5"/>
      <c r="B54" s="5"/>
      <c r="C54" s="5"/>
      <c r="D54" s="5"/>
      <c r="E54" s="5"/>
      <c r="F54" s="76"/>
      <c r="G54" s="5"/>
      <c r="H54" s="84"/>
      <c r="I54" s="5"/>
      <c r="J54" s="5"/>
      <c r="K54" s="5"/>
      <c r="L54" s="5"/>
      <c r="M54" s="5"/>
      <c r="N54" s="5"/>
      <c r="O54" s="5"/>
      <c r="P54" s="5"/>
      <c r="Q54" s="5"/>
      <c r="R54" s="5"/>
      <c r="S54" s="5"/>
      <c r="T54" s="5"/>
      <c r="U54" s="5"/>
      <c r="V54" s="5"/>
      <c r="W54" s="5"/>
      <c r="X54" s="5"/>
      <c r="Y54" s="5"/>
      <c r="Z54" s="5"/>
      <c r="AA54" s="5"/>
    </row>
    <row r="55">
      <c r="A55" s="5"/>
      <c r="B55" s="5"/>
      <c r="C55" s="5"/>
      <c r="D55" s="5"/>
      <c r="E55" s="5"/>
      <c r="F55" s="76"/>
      <c r="G55" s="5"/>
      <c r="H55" s="84"/>
      <c r="I55" s="5"/>
      <c r="J55" s="5"/>
      <c r="K55" s="5"/>
      <c r="L55" s="5"/>
      <c r="M55" s="5"/>
      <c r="N55" s="5"/>
      <c r="O55" s="5"/>
      <c r="P55" s="5"/>
      <c r="Q55" s="5"/>
      <c r="R55" s="5"/>
      <c r="S55" s="5"/>
      <c r="T55" s="5"/>
      <c r="U55" s="5"/>
      <c r="V55" s="5"/>
      <c r="W55" s="5"/>
      <c r="X55" s="5"/>
      <c r="Y55" s="5"/>
      <c r="Z55" s="5"/>
      <c r="AA55" s="5"/>
    </row>
    <row r="56">
      <c r="A56" s="5"/>
      <c r="B56" s="5"/>
      <c r="C56" s="5"/>
      <c r="D56" s="5"/>
      <c r="E56" s="5"/>
      <c r="F56" s="76"/>
      <c r="G56" s="5"/>
      <c r="H56" s="84"/>
      <c r="I56" s="5"/>
      <c r="J56" s="5"/>
      <c r="K56" s="5"/>
      <c r="L56" s="5"/>
      <c r="M56" s="5"/>
      <c r="N56" s="5"/>
      <c r="O56" s="5"/>
      <c r="P56" s="5"/>
      <c r="Q56" s="5"/>
      <c r="R56" s="5"/>
      <c r="S56" s="5"/>
      <c r="T56" s="5"/>
      <c r="U56" s="5"/>
      <c r="V56" s="5"/>
      <c r="W56" s="5"/>
      <c r="X56" s="5"/>
      <c r="Y56" s="5"/>
      <c r="Z56" s="5"/>
      <c r="AA56" s="5"/>
    </row>
    <row r="57">
      <c r="A57" s="5"/>
      <c r="B57" s="5"/>
      <c r="C57" s="5"/>
      <c r="D57" s="5"/>
      <c r="E57" s="5"/>
      <c r="F57" s="76"/>
      <c r="G57" s="5"/>
      <c r="H57" s="84"/>
      <c r="I57" s="5"/>
      <c r="J57" s="5"/>
      <c r="K57" s="5"/>
      <c r="L57" s="5"/>
      <c r="M57" s="5"/>
      <c r="N57" s="5"/>
      <c r="O57" s="5"/>
      <c r="P57" s="5"/>
      <c r="Q57" s="5"/>
      <c r="R57" s="5"/>
      <c r="S57" s="5"/>
      <c r="T57" s="5"/>
      <c r="U57" s="5"/>
      <c r="V57" s="5"/>
      <c r="W57" s="5"/>
      <c r="X57" s="5"/>
      <c r="Y57" s="5"/>
      <c r="Z57" s="5"/>
      <c r="AA57" s="5"/>
    </row>
    <row r="58">
      <c r="A58" s="5"/>
      <c r="B58" s="5"/>
      <c r="C58" s="5"/>
      <c r="D58" s="5"/>
      <c r="E58" s="5"/>
      <c r="F58" s="76"/>
      <c r="G58" s="5"/>
      <c r="H58" s="84"/>
      <c r="I58" s="5"/>
      <c r="J58" s="5"/>
      <c r="K58" s="5"/>
      <c r="L58" s="5"/>
      <c r="M58" s="5"/>
      <c r="N58" s="5"/>
      <c r="O58" s="5"/>
      <c r="P58" s="5"/>
      <c r="Q58" s="5"/>
      <c r="R58" s="5"/>
      <c r="S58" s="5"/>
      <c r="T58" s="5"/>
      <c r="U58" s="5"/>
      <c r="V58" s="5"/>
      <c r="W58" s="5"/>
      <c r="X58" s="5"/>
      <c r="Y58" s="5"/>
      <c r="Z58" s="5"/>
      <c r="AA58" s="5"/>
    </row>
    <row r="59">
      <c r="A59" s="5"/>
      <c r="B59" s="5"/>
      <c r="C59" s="5"/>
      <c r="D59" s="5"/>
      <c r="E59" s="5"/>
      <c r="F59" s="76"/>
      <c r="G59" s="5"/>
      <c r="H59" s="84"/>
      <c r="I59" s="5"/>
      <c r="J59" s="5"/>
      <c r="K59" s="5"/>
      <c r="L59" s="5"/>
      <c r="M59" s="5"/>
      <c r="N59" s="5"/>
      <c r="O59" s="5"/>
      <c r="P59" s="5"/>
      <c r="Q59" s="5"/>
      <c r="R59" s="5"/>
      <c r="S59" s="5"/>
      <c r="T59" s="5"/>
      <c r="U59" s="5"/>
      <c r="V59" s="5"/>
      <c r="W59" s="5"/>
      <c r="X59" s="5"/>
      <c r="Y59" s="5"/>
      <c r="Z59" s="5"/>
      <c r="AA59" s="5"/>
    </row>
    <row r="60">
      <c r="A60" s="5"/>
      <c r="B60" s="5"/>
      <c r="C60" s="5"/>
      <c r="D60" s="5"/>
      <c r="E60" s="5"/>
      <c r="F60" s="76"/>
      <c r="G60" s="5"/>
      <c r="H60" s="84"/>
      <c r="I60" s="5"/>
      <c r="J60" s="5"/>
      <c r="K60" s="5"/>
      <c r="L60" s="5"/>
      <c r="M60" s="5"/>
      <c r="N60" s="5"/>
      <c r="O60" s="5"/>
      <c r="P60" s="5"/>
      <c r="Q60" s="5"/>
      <c r="R60" s="5"/>
      <c r="S60" s="5"/>
      <c r="T60" s="5"/>
      <c r="U60" s="5"/>
      <c r="V60" s="5"/>
      <c r="W60" s="5"/>
      <c r="X60" s="5"/>
      <c r="Y60" s="5"/>
      <c r="Z60" s="5"/>
      <c r="AA60" s="5"/>
    </row>
    <row r="61">
      <c r="A61" s="5"/>
      <c r="B61" s="5"/>
      <c r="C61" s="5"/>
      <c r="D61" s="5"/>
      <c r="E61" s="5"/>
      <c r="F61" s="76"/>
      <c r="G61" s="5"/>
      <c r="H61" s="84"/>
      <c r="I61" s="5"/>
      <c r="J61" s="5"/>
      <c r="K61" s="5"/>
      <c r="L61" s="5"/>
      <c r="M61" s="5"/>
      <c r="N61" s="5"/>
      <c r="O61" s="5"/>
      <c r="P61" s="5"/>
      <c r="Q61" s="5"/>
      <c r="R61" s="5"/>
      <c r="S61" s="5"/>
      <c r="T61" s="5"/>
      <c r="U61" s="5"/>
      <c r="V61" s="5"/>
      <c r="W61" s="5"/>
      <c r="X61" s="5"/>
      <c r="Y61" s="5"/>
      <c r="Z61" s="5"/>
      <c r="AA61" s="5"/>
    </row>
    <row r="62">
      <c r="A62" s="5"/>
      <c r="B62" s="5"/>
      <c r="C62" s="5"/>
      <c r="D62" s="5"/>
      <c r="E62" s="5"/>
      <c r="F62" s="76"/>
      <c r="G62" s="5"/>
      <c r="H62" s="84"/>
      <c r="I62" s="5"/>
      <c r="J62" s="5"/>
      <c r="K62" s="5"/>
      <c r="L62" s="5"/>
      <c r="M62" s="5"/>
      <c r="N62" s="5"/>
      <c r="O62" s="5"/>
      <c r="P62" s="5"/>
      <c r="Q62" s="5"/>
      <c r="R62" s="5"/>
      <c r="S62" s="5"/>
      <c r="T62" s="5"/>
      <c r="U62" s="5"/>
      <c r="V62" s="5"/>
      <c r="W62" s="5"/>
      <c r="X62" s="5"/>
      <c r="Y62" s="5"/>
      <c r="Z62" s="5"/>
      <c r="AA62" s="5"/>
    </row>
    <row r="63">
      <c r="A63" s="5"/>
      <c r="B63" s="5"/>
      <c r="C63" s="5"/>
      <c r="D63" s="5"/>
      <c r="E63" s="5"/>
      <c r="F63" s="76"/>
      <c r="G63" s="5"/>
      <c r="H63" s="84"/>
      <c r="I63" s="5"/>
      <c r="J63" s="5"/>
      <c r="K63" s="5"/>
      <c r="L63" s="5"/>
      <c r="M63" s="5"/>
      <c r="N63" s="5"/>
      <c r="O63" s="5"/>
      <c r="P63" s="5"/>
      <c r="Q63" s="5"/>
      <c r="R63" s="5"/>
      <c r="S63" s="5"/>
      <c r="T63" s="5"/>
      <c r="U63" s="5"/>
      <c r="V63" s="5"/>
      <c r="W63" s="5"/>
      <c r="X63" s="5"/>
      <c r="Y63" s="5"/>
      <c r="Z63" s="5"/>
      <c r="AA63" s="5"/>
    </row>
    <row r="64">
      <c r="A64" s="5"/>
      <c r="B64" s="5"/>
      <c r="C64" s="5"/>
      <c r="D64" s="5"/>
      <c r="E64" s="5"/>
      <c r="F64" s="76"/>
      <c r="G64" s="5"/>
      <c r="H64" s="84"/>
      <c r="I64" s="5"/>
      <c r="J64" s="5"/>
      <c r="K64" s="5"/>
      <c r="L64" s="5"/>
      <c r="M64" s="5"/>
      <c r="N64" s="5"/>
      <c r="O64" s="5"/>
      <c r="P64" s="5"/>
      <c r="Q64" s="5"/>
      <c r="R64" s="5"/>
      <c r="S64" s="5"/>
      <c r="T64" s="5"/>
      <c r="U64" s="5"/>
      <c r="V64" s="5"/>
      <c r="W64" s="5"/>
      <c r="X64" s="5"/>
      <c r="Y64" s="5"/>
      <c r="Z64" s="5"/>
      <c r="AA64" s="5"/>
    </row>
    <row r="65">
      <c r="A65" s="5"/>
      <c r="B65" s="5"/>
      <c r="C65" s="5"/>
      <c r="D65" s="5"/>
      <c r="E65" s="5"/>
      <c r="F65" s="76"/>
      <c r="G65" s="5"/>
      <c r="H65" s="84"/>
      <c r="I65" s="5"/>
      <c r="J65" s="5"/>
      <c r="K65" s="5"/>
      <c r="L65" s="5"/>
      <c r="M65" s="5"/>
      <c r="N65" s="5"/>
      <c r="O65" s="5"/>
      <c r="P65" s="5"/>
      <c r="Q65" s="5"/>
      <c r="R65" s="5"/>
      <c r="S65" s="5"/>
      <c r="T65" s="5"/>
      <c r="U65" s="5"/>
      <c r="V65" s="5"/>
      <c r="W65" s="5"/>
      <c r="X65" s="5"/>
      <c r="Y65" s="5"/>
      <c r="Z65" s="5"/>
      <c r="AA65" s="5"/>
    </row>
    <row r="66">
      <c r="A66" s="5"/>
      <c r="B66" s="5"/>
      <c r="C66" s="5"/>
      <c r="D66" s="5"/>
      <c r="E66" s="5"/>
      <c r="F66" s="76"/>
      <c r="G66" s="5"/>
      <c r="H66" s="84"/>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84"/>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84"/>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84"/>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84"/>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84"/>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84"/>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84"/>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84"/>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84"/>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84"/>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84"/>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84"/>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84"/>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84"/>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84"/>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84"/>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84"/>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84"/>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84"/>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84"/>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84"/>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84"/>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84"/>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84"/>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84"/>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84"/>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84"/>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84"/>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84"/>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84"/>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84"/>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84"/>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84"/>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84"/>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84"/>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84"/>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84"/>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84"/>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84"/>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84"/>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84"/>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84"/>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84"/>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84"/>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84"/>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84"/>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84"/>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84"/>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84"/>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84"/>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84"/>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84"/>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84"/>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84"/>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84"/>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84"/>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84"/>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84"/>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84"/>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84"/>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84"/>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84"/>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84"/>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84"/>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84"/>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84"/>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84"/>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84"/>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84"/>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84"/>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84"/>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84"/>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84"/>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84"/>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84"/>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84"/>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84"/>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84"/>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84"/>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84"/>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84"/>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84"/>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84"/>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84"/>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84"/>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84"/>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84"/>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84"/>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84"/>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84"/>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84"/>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84"/>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84"/>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84"/>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84"/>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84"/>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84"/>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84"/>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84"/>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84"/>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84"/>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84"/>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84"/>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84"/>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84"/>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84"/>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84"/>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84"/>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84"/>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84"/>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84"/>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84"/>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84"/>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84"/>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84"/>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84"/>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84"/>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84"/>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84"/>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84"/>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84"/>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84"/>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84"/>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84"/>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84"/>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84"/>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84"/>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84"/>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84"/>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84"/>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84"/>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84"/>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84"/>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84"/>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84"/>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84"/>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84"/>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84"/>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84"/>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84"/>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84"/>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84"/>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84"/>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84"/>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84"/>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84"/>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84"/>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84"/>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84"/>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84"/>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84"/>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84"/>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84"/>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84"/>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84"/>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84"/>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84"/>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84"/>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84"/>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84"/>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84"/>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84"/>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84"/>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84"/>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84"/>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84"/>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84"/>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84"/>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84"/>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84"/>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84"/>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84"/>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84"/>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84"/>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84"/>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84"/>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84"/>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84"/>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84"/>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84"/>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84"/>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84"/>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84"/>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84"/>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84"/>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84"/>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84"/>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84"/>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84"/>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84"/>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84"/>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84"/>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84"/>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84"/>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84"/>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84"/>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84"/>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84"/>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84"/>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84"/>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84"/>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84"/>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84"/>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84"/>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84"/>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84"/>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84"/>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84"/>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84"/>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84"/>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84"/>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84"/>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84"/>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84"/>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84"/>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84"/>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84"/>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84"/>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84"/>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84"/>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84"/>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84"/>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84"/>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84"/>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84"/>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84"/>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84"/>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84"/>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84"/>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84"/>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84"/>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84"/>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84"/>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84"/>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84"/>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84"/>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84"/>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84"/>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84"/>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84"/>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84"/>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84"/>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84"/>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84"/>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84"/>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84"/>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84"/>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84"/>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84"/>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84"/>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84"/>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84"/>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84"/>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84"/>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84"/>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84"/>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84"/>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84"/>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84"/>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84"/>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84"/>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84"/>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84"/>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84"/>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84"/>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84"/>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84"/>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84"/>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84"/>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84"/>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84"/>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84"/>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84"/>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84"/>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84"/>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84"/>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84"/>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84"/>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84"/>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84"/>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84"/>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84"/>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84"/>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84"/>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84"/>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84"/>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84"/>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84"/>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84"/>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84"/>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84"/>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84"/>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84"/>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84"/>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84"/>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84"/>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84"/>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84"/>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84"/>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84"/>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84"/>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84"/>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84"/>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84"/>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84"/>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84"/>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84"/>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84"/>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84"/>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84"/>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84"/>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84"/>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84"/>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84"/>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84"/>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84"/>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84"/>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84"/>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84"/>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84"/>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84"/>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84"/>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84"/>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84"/>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84"/>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84"/>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84"/>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84"/>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84"/>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84"/>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84"/>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84"/>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84"/>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84"/>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84"/>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84"/>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84"/>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84"/>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84"/>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84"/>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84"/>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84"/>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84"/>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84"/>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84"/>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84"/>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84"/>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84"/>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84"/>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84"/>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84"/>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84"/>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84"/>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84"/>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84"/>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84"/>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84"/>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84"/>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84"/>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84"/>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84"/>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84"/>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84"/>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84"/>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84"/>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84"/>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84"/>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84"/>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84"/>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84"/>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84"/>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84"/>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84"/>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84"/>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84"/>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84"/>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84"/>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84"/>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84"/>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84"/>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84"/>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84"/>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84"/>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84"/>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84"/>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84"/>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84"/>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84"/>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84"/>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84"/>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84"/>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84"/>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84"/>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84"/>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84"/>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84"/>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84"/>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84"/>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84"/>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84"/>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84"/>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84"/>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84"/>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84"/>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84"/>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84"/>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84"/>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84"/>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84"/>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84"/>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84"/>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84"/>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84"/>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84"/>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84"/>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84"/>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84"/>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84"/>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84"/>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84"/>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84"/>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84"/>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84"/>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84"/>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84"/>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84"/>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84"/>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84"/>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84"/>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84"/>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84"/>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84"/>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84"/>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84"/>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84"/>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84"/>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84"/>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84"/>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84"/>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84"/>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84"/>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84"/>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84"/>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84"/>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84"/>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84"/>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84"/>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84"/>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84"/>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84"/>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84"/>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84"/>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84"/>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84"/>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84"/>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84"/>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84"/>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84"/>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84"/>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84"/>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84"/>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84"/>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84"/>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84"/>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84"/>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84"/>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84"/>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84"/>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84"/>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84"/>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84"/>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84"/>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84"/>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84"/>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84"/>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84"/>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84"/>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84"/>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84"/>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84"/>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84"/>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84"/>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84"/>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84"/>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84"/>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84"/>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84"/>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84"/>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84"/>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84"/>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84"/>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84"/>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84"/>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84"/>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84"/>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84"/>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84"/>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84"/>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84"/>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84"/>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84"/>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84"/>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84"/>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84"/>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84"/>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84"/>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84"/>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84"/>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84"/>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84"/>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84"/>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84"/>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84"/>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84"/>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84"/>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84"/>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84"/>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84"/>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84"/>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84"/>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84"/>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84"/>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84"/>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84"/>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84"/>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84"/>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84"/>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84"/>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84"/>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84"/>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84"/>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84"/>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84"/>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84"/>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84"/>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84"/>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84"/>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84"/>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84"/>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84"/>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84"/>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84"/>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84"/>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84"/>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84"/>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84"/>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84"/>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84"/>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84"/>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84"/>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84"/>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84"/>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84"/>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84"/>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84"/>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84"/>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84"/>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84"/>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84"/>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84"/>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84"/>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84"/>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84"/>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84"/>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84"/>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84"/>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84"/>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84"/>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84"/>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84"/>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84"/>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84"/>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84"/>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84"/>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84"/>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84"/>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84"/>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84"/>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84"/>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84"/>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84"/>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84"/>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84"/>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84"/>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84"/>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84"/>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84"/>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84"/>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84"/>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84"/>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84"/>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84"/>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84"/>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84"/>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84"/>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84"/>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84"/>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84"/>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84"/>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84"/>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84"/>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84"/>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84"/>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84"/>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84"/>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84"/>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84"/>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84"/>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84"/>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84"/>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84"/>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84"/>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84"/>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84"/>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84"/>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84"/>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84"/>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84"/>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84"/>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84"/>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84"/>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84"/>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84"/>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84"/>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84"/>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84"/>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84"/>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84"/>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84"/>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84"/>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84"/>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84"/>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84"/>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84"/>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84"/>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84"/>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84"/>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84"/>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84"/>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84"/>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84"/>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84"/>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84"/>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84"/>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84"/>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84"/>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84"/>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84"/>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84"/>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84"/>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84"/>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84"/>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84"/>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84"/>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84"/>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84"/>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84"/>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84"/>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84"/>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84"/>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84"/>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84"/>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84"/>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84"/>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84"/>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84"/>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84"/>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84"/>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84"/>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84"/>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84"/>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84"/>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84"/>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84"/>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84"/>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84"/>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84"/>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84"/>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84"/>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84"/>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84"/>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84"/>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84"/>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84"/>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84"/>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84"/>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84"/>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84"/>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84"/>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84"/>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84"/>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84"/>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84"/>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84"/>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84"/>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84"/>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84"/>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84"/>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84"/>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84"/>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84"/>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84"/>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84"/>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84"/>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84"/>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84"/>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84"/>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84"/>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84"/>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84"/>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84"/>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84"/>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84"/>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84"/>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84"/>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84"/>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84"/>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84"/>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84"/>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84"/>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84"/>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84"/>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84"/>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84"/>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84"/>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84"/>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84"/>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84"/>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84"/>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84"/>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84"/>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84"/>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84"/>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84"/>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84"/>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84"/>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84"/>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84"/>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84"/>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84"/>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84"/>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84"/>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84"/>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84"/>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84"/>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84"/>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84"/>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84"/>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84"/>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84"/>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84"/>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84"/>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84"/>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84"/>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84"/>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84"/>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84"/>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84"/>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84"/>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84"/>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84"/>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84"/>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84"/>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84"/>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84"/>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84"/>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84"/>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84"/>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84"/>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84"/>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84"/>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84"/>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84"/>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84"/>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84"/>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84"/>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84"/>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84"/>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84"/>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84"/>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84"/>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84"/>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84"/>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84"/>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84"/>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84"/>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84"/>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84"/>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84"/>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84"/>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84"/>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84"/>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84"/>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84"/>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84"/>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84"/>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84"/>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84"/>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84"/>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84"/>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84"/>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84"/>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84"/>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84"/>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84"/>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84"/>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84"/>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84"/>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84"/>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84"/>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84"/>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84"/>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84"/>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84"/>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84"/>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84"/>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84"/>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84"/>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84"/>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84"/>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84"/>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84"/>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84"/>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84"/>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84"/>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84"/>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84"/>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84"/>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84"/>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84"/>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84"/>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84"/>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84"/>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84"/>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84"/>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84"/>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84"/>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84"/>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84"/>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84"/>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84"/>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84"/>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84"/>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84"/>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84"/>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84"/>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84"/>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84"/>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84"/>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84"/>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84"/>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84"/>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84"/>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84"/>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84"/>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84"/>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84"/>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84"/>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84"/>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84"/>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84"/>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84"/>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84"/>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84"/>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84"/>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84"/>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84"/>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84"/>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84"/>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84"/>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84"/>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84"/>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84"/>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84"/>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84"/>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84"/>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84"/>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84"/>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84"/>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84"/>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84"/>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84"/>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84"/>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84"/>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84"/>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84"/>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84"/>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84"/>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84"/>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84"/>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84"/>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84"/>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84"/>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84"/>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84"/>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84"/>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84"/>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84"/>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84"/>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84"/>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84"/>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84"/>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84"/>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84"/>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84"/>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84"/>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84"/>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84"/>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84"/>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84"/>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84"/>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84"/>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84"/>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84"/>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84"/>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84"/>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84"/>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84"/>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84"/>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84"/>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84"/>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84"/>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84"/>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84"/>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84"/>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84"/>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84"/>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84"/>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84"/>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84"/>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84"/>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84"/>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84"/>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84"/>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c r="J1" s="13"/>
      <c r="K1" s="5"/>
      <c r="L1" s="5"/>
      <c r="M1" s="5"/>
      <c r="N1" s="5"/>
      <c r="O1" s="5"/>
      <c r="P1" s="5"/>
      <c r="Q1" s="5"/>
      <c r="R1" s="5"/>
      <c r="S1" s="5"/>
      <c r="T1" s="5"/>
      <c r="U1" s="5"/>
      <c r="V1" s="5"/>
      <c r="W1" s="5"/>
      <c r="X1" s="5"/>
      <c r="Y1" s="5"/>
      <c r="Z1" s="5"/>
      <c r="AA1" s="5"/>
    </row>
    <row r="2">
      <c r="A2" s="7" t="s">
        <v>93</v>
      </c>
      <c r="B2" s="7" t="s">
        <v>108</v>
      </c>
      <c r="C2" s="67">
        <f t="shared" ref="C2:C6" si="1">COUNTIF(I:I,A2)</f>
        <v>0</v>
      </c>
      <c r="D2" s="17">
        <f t="shared" ref="D2:D6" si="2">C2/COUNTA(I$2:I1000)</f>
        <v>0</v>
      </c>
      <c r="E2" s="77">
        <v>1.593105343E9</v>
      </c>
      <c r="F2" s="68">
        <f>IFERROR(__xludf.DUMMYFUNCTION("INDEX(SPLIT(E2, char(10)), 0, 1)/86400+date(1970,1,1)"),44007.719247685185)</f>
        <v>44007.71925</v>
      </c>
      <c r="G2" s="46" t="s">
        <v>940</v>
      </c>
      <c r="H2" s="46" t="s">
        <v>941</v>
      </c>
      <c r="I2" s="46" t="s">
        <v>14</v>
      </c>
      <c r="J2" s="5"/>
      <c r="K2" s="5"/>
      <c r="L2" s="5"/>
      <c r="M2" s="5"/>
      <c r="N2" s="5"/>
      <c r="O2" s="5"/>
      <c r="P2" s="5"/>
      <c r="Q2" s="5"/>
      <c r="R2" s="5"/>
      <c r="S2" s="5"/>
      <c r="T2" s="5"/>
      <c r="U2" s="5"/>
      <c r="V2" s="5"/>
      <c r="W2" s="5"/>
      <c r="X2" s="5"/>
      <c r="Y2" s="5"/>
      <c r="Z2" s="5"/>
      <c r="AA2" s="5"/>
    </row>
    <row r="3">
      <c r="A3" s="7" t="s">
        <v>11</v>
      </c>
      <c r="B3" s="7" t="s">
        <v>111</v>
      </c>
      <c r="C3" s="67">
        <f t="shared" si="1"/>
        <v>0</v>
      </c>
      <c r="D3" s="17">
        <f t="shared" si="2"/>
        <v>0</v>
      </c>
      <c r="E3" s="77">
        <v>1.593105653E9</v>
      </c>
      <c r="F3" s="68">
        <f>IFERROR(__xludf.DUMMYFUNCTION("INDEX(SPLIT(E3, char(10)), 0, 1)/86400+date(1970,1,1)"),44007.72283564815)</f>
        <v>44007.72284</v>
      </c>
      <c r="G3" s="46" t="s">
        <v>942</v>
      </c>
      <c r="H3" s="46" t="s">
        <v>943</v>
      </c>
      <c r="I3" s="46" t="s">
        <v>13</v>
      </c>
      <c r="J3" s="5"/>
      <c r="K3" s="5"/>
      <c r="L3" s="5"/>
      <c r="M3" s="5"/>
      <c r="N3" s="5"/>
      <c r="O3" s="5"/>
      <c r="P3" s="5"/>
      <c r="Q3" s="5"/>
      <c r="R3" s="5"/>
      <c r="S3" s="5"/>
      <c r="T3" s="5"/>
      <c r="U3" s="5"/>
      <c r="V3" s="5"/>
      <c r="W3" s="5"/>
      <c r="X3" s="5"/>
      <c r="Y3" s="5"/>
      <c r="Z3" s="5"/>
      <c r="AA3" s="5"/>
    </row>
    <row r="4">
      <c r="A4" s="7" t="s">
        <v>12</v>
      </c>
      <c r="B4" s="7" t="s">
        <v>114</v>
      </c>
      <c r="C4" s="67">
        <f t="shared" si="1"/>
        <v>0</v>
      </c>
      <c r="D4" s="17">
        <f t="shared" si="2"/>
        <v>0</v>
      </c>
      <c r="E4" s="67"/>
      <c r="F4" s="68"/>
      <c r="G4" s="7"/>
      <c r="H4" s="46"/>
      <c r="I4" s="7"/>
      <c r="J4" s="5"/>
      <c r="K4" s="5"/>
      <c r="L4" s="5"/>
      <c r="M4" s="5"/>
      <c r="N4" s="5"/>
      <c r="O4" s="5"/>
      <c r="P4" s="5"/>
      <c r="Q4" s="5"/>
      <c r="R4" s="5"/>
      <c r="S4" s="5"/>
      <c r="T4" s="5"/>
      <c r="U4" s="5"/>
      <c r="V4" s="5"/>
      <c r="W4" s="5"/>
      <c r="X4" s="5"/>
      <c r="Y4" s="5"/>
      <c r="Z4" s="5"/>
      <c r="AA4" s="5"/>
    </row>
    <row r="5">
      <c r="A5" s="7" t="s">
        <v>13</v>
      </c>
      <c r="B5" s="7" t="s">
        <v>117</v>
      </c>
      <c r="C5" s="67">
        <f t="shared" si="1"/>
        <v>1</v>
      </c>
      <c r="D5" s="17">
        <f t="shared" si="2"/>
        <v>0.5</v>
      </c>
      <c r="E5" s="67"/>
      <c r="F5" s="68"/>
      <c r="G5" s="7"/>
      <c r="H5" s="46"/>
      <c r="I5" s="7"/>
      <c r="J5" s="5"/>
      <c r="K5" s="5"/>
      <c r="L5" s="5"/>
      <c r="M5" s="5"/>
      <c r="N5" s="5"/>
      <c r="O5" s="5"/>
      <c r="P5" s="5"/>
      <c r="Q5" s="5"/>
      <c r="R5" s="5"/>
      <c r="S5" s="5"/>
      <c r="T5" s="5"/>
      <c r="U5" s="5"/>
      <c r="V5" s="5"/>
      <c r="W5" s="5"/>
      <c r="X5" s="5"/>
      <c r="Y5" s="5"/>
      <c r="Z5" s="5"/>
      <c r="AA5" s="5"/>
    </row>
    <row r="6">
      <c r="A6" s="7" t="s">
        <v>14</v>
      </c>
      <c r="B6" s="7" t="s">
        <v>120</v>
      </c>
      <c r="C6" s="67">
        <f t="shared" si="1"/>
        <v>1</v>
      </c>
      <c r="D6" s="17">
        <f t="shared" si="2"/>
        <v>0.5</v>
      </c>
      <c r="E6" s="67"/>
      <c r="F6" s="68"/>
      <c r="G6" s="7"/>
      <c r="H6" s="46"/>
      <c r="I6" s="7"/>
      <c r="J6" s="5"/>
      <c r="K6" s="5"/>
      <c r="L6" s="5"/>
      <c r="M6" s="5"/>
      <c r="N6" s="5"/>
      <c r="O6" s="5"/>
      <c r="P6" s="5"/>
      <c r="Q6" s="5"/>
      <c r="R6" s="5"/>
      <c r="S6" s="5"/>
      <c r="T6" s="5"/>
      <c r="U6" s="5"/>
      <c r="V6" s="5"/>
      <c r="W6" s="5"/>
      <c r="X6" s="5"/>
      <c r="Y6" s="5"/>
      <c r="Z6" s="5"/>
      <c r="AA6" s="5"/>
    </row>
    <row r="7">
      <c r="A7" s="5"/>
      <c r="B7" s="7" t="s">
        <v>10</v>
      </c>
      <c r="C7" s="23">
        <f t="shared" ref="C7:D7" si="3">SUM(C2:C6)</f>
        <v>2</v>
      </c>
      <c r="D7" s="70">
        <f t="shared" si="3"/>
        <v>1</v>
      </c>
      <c r="E7" s="67"/>
      <c r="F7" s="68"/>
      <c r="G7" s="7"/>
      <c r="H7" s="46"/>
      <c r="I7" s="7"/>
      <c r="J7" s="5"/>
      <c r="K7" s="5"/>
      <c r="L7" s="5"/>
      <c r="M7" s="5"/>
      <c r="N7" s="5"/>
      <c r="O7" s="5"/>
      <c r="P7" s="5"/>
      <c r="Q7" s="5"/>
      <c r="R7" s="5"/>
      <c r="S7" s="5"/>
      <c r="T7" s="5"/>
      <c r="U7" s="5"/>
      <c r="V7" s="5"/>
      <c r="W7" s="5"/>
      <c r="X7" s="5"/>
      <c r="Y7" s="5"/>
      <c r="Z7" s="5"/>
      <c r="AA7" s="5"/>
    </row>
    <row r="8">
      <c r="A8" s="71"/>
      <c r="B8" s="7" t="s">
        <v>15</v>
      </c>
      <c r="C8" s="67">
        <f t="shared" ref="C8:D8" si="4">SUM(C5:C6)</f>
        <v>2</v>
      </c>
      <c r="D8" s="17">
        <f t="shared" si="4"/>
        <v>1</v>
      </c>
      <c r="E8" s="67"/>
      <c r="F8" s="68"/>
      <c r="G8" s="7"/>
      <c r="H8" s="46"/>
      <c r="I8" s="7"/>
      <c r="J8" s="5"/>
      <c r="K8" s="5"/>
      <c r="L8" s="5"/>
      <c r="M8" s="5"/>
      <c r="N8" s="5"/>
      <c r="O8" s="5"/>
      <c r="P8" s="5"/>
      <c r="Q8" s="5"/>
      <c r="R8" s="5"/>
      <c r="S8" s="5"/>
      <c r="T8" s="5"/>
      <c r="U8" s="5"/>
      <c r="V8" s="5"/>
      <c r="W8" s="5"/>
      <c r="X8" s="5"/>
      <c r="Y8" s="5"/>
      <c r="Z8" s="5"/>
      <c r="AA8" s="5"/>
    </row>
    <row r="9">
      <c r="A9" s="71"/>
      <c r="B9" s="7" t="s">
        <v>127</v>
      </c>
      <c r="C9" s="67">
        <f>SUM(C6:C7)</f>
        <v>3</v>
      </c>
      <c r="D9" s="17">
        <f>SUM(D5:D6) + D2</f>
        <v>1</v>
      </c>
      <c r="E9" s="67"/>
      <c r="F9" s="68"/>
      <c r="G9" s="7"/>
      <c r="H9" s="46"/>
      <c r="I9" s="7"/>
      <c r="J9" s="5"/>
      <c r="K9" s="5"/>
      <c r="L9" s="5"/>
      <c r="M9" s="5"/>
      <c r="N9" s="5"/>
      <c r="O9" s="5"/>
      <c r="P9" s="5"/>
      <c r="Q9" s="5"/>
      <c r="R9" s="5"/>
      <c r="S9" s="5"/>
      <c r="T9" s="5"/>
      <c r="U9" s="5"/>
      <c r="V9" s="5"/>
      <c r="W9" s="5"/>
      <c r="X9" s="5"/>
      <c r="Y9" s="5"/>
      <c r="Z9" s="5"/>
      <c r="AA9" s="5"/>
    </row>
    <row r="10">
      <c r="A10" s="71"/>
      <c r="B10" s="71"/>
      <c r="C10" s="71"/>
      <c r="D10" s="71"/>
      <c r="E10" s="67"/>
      <c r="F10" s="68"/>
      <c r="G10" s="7"/>
      <c r="H10" s="46"/>
      <c r="I10" s="7"/>
      <c r="J10" s="5"/>
      <c r="K10" s="5"/>
      <c r="L10" s="5"/>
      <c r="M10" s="5"/>
      <c r="N10" s="5"/>
      <c r="O10" s="5"/>
      <c r="P10" s="5"/>
      <c r="Q10" s="5"/>
      <c r="R10" s="5"/>
      <c r="S10" s="5"/>
      <c r="T10" s="5"/>
      <c r="U10" s="5"/>
      <c r="V10" s="5"/>
      <c r="W10" s="5"/>
      <c r="X10" s="5"/>
      <c r="Y10" s="5"/>
      <c r="Z10" s="5"/>
      <c r="AA10" s="5"/>
    </row>
    <row r="11">
      <c r="A11" s="71"/>
      <c r="B11" s="71"/>
      <c r="C11" s="71"/>
      <c r="D11" s="71"/>
      <c r="E11" s="67"/>
      <c r="F11" s="68"/>
      <c r="G11" s="7"/>
      <c r="H11" s="46"/>
      <c r="I11" s="7"/>
      <c r="J11" s="5"/>
      <c r="K11" s="5"/>
      <c r="L11" s="5"/>
      <c r="M11" s="5"/>
      <c r="N11" s="5"/>
      <c r="O11" s="5"/>
      <c r="P11" s="5"/>
      <c r="Q11" s="5"/>
      <c r="R11" s="5"/>
      <c r="S11" s="5"/>
      <c r="T11" s="5"/>
      <c r="U11" s="5"/>
      <c r="V11" s="5"/>
      <c r="W11" s="5"/>
      <c r="X11" s="5"/>
      <c r="Y11" s="5"/>
      <c r="Z11" s="5"/>
      <c r="AA11" s="5"/>
    </row>
    <row r="12">
      <c r="A12" s="1" t="s">
        <v>134</v>
      </c>
      <c r="B12" s="72" t="s">
        <v>944</v>
      </c>
      <c r="C12" s="71"/>
      <c r="D12" s="71"/>
      <c r="E12" s="67"/>
      <c r="F12" s="68"/>
      <c r="G12" s="7"/>
      <c r="H12" s="46"/>
      <c r="I12" s="7"/>
      <c r="J12" s="5"/>
      <c r="K12" s="5"/>
      <c r="L12" s="5"/>
      <c r="M12" s="5"/>
      <c r="N12" s="5"/>
      <c r="O12" s="5"/>
      <c r="P12" s="5"/>
      <c r="Q12" s="5"/>
      <c r="R12" s="5"/>
      <c r="S12" s="5"/>
      <c r="T12" s="5"/>
      <c r="U12" s="5"/>
      <c r="V12" s="5"/>
      <c r="W12" s="5"/>
      <c r="X12" s="5"/>
      <c r="Y12" s="5"/>
      <c r="Z12" s="5"/>
      <c r="AA12" s="5"/>
    </row>
    <row r="13">
      <c r="A13" s="1" t="s">
        <v>138</v>
      </c>
      <c r="B13" s="71"/>
      <c r="C13" s="1" t="s">
        <v>101</v>
      </c>
      <c r="D13" s="1" t="s">
        <v>102</v>
      </c>
      <c r="E13" s="67"/>
      <c r="F13" s="68"/>
      <c r="G13" s="7"/>
      <c r="H13" s="46"/>
      <c r="I13" s="7"/>
      <c r="J13" s="5"/>
      <c r="K13" s="5"/>
      <c r="L13" s="5"/>
      <c r="M13" s="5"/>
      <c r="N13" s="5"/>
      <c r="O13" s="5"/>
      <c r="P13" s="5"/>
      <c r="Q13" s="5"/>
      <c r="R13" s="5"/>
      <c r="S13" s="5"/>
      <c r="T13" s="5"/>
      <c r="U13" s="5"/>
      <c r="V13" s="5"/>
      <c r="W13" s="5"/>
      <c r="X13" s="5"/>
      <c r="Y13" s="5"/>
      <c r="Z13" s="5"/>
      <c r="AA13" s="5"/>
    </row>
    <row r="14">
      <c r="A14" s="7" t="s">
        <v>141</v>
      </c>
      <c r="B14" s="7" t="s">
        <v>142</v>
      </c>
      <c r="C14" s="23">
        <f t="shared" ref="C14:C17" si="5">COUNTIF($A$19:$A1000, A14)</f>
        <v>3</v>
      </c>
      <c r="D14" s="17">
        <f>IFERROR(__xludf.DUMMYFUNCTION("IF(C14, COUNTIF(FILTER($D$19:$D1000, $A$19:$A1000=A14), TRUE)/C14, 0)"),0.3333333333333333)</f>
        <v>0.3333333333</v>
      </c>
      <c r="E14" s="67"/>
      <c r="F14" s="68"/>
      <c r="G14" s="7"/>
      <c r="H14" s="46"/>
      <c r="I14" s="7"/>
      <c r="J14" s="5"/>
      <c r="K14" s="5"/>
      <c r="L14" s="5"/>
      <c r="M14" s="5"/>
      <c r="N14" s="5"/>
      <c r="O14" s="5"/>
      <c r="P14" s="5"/>
      <c r="Q14" s="5"/>
      <c r="R14" s="5"/>
      <c r="S14" s="5"/>
      <c r="T14" s="5"/>
      <c r="U14" s="5"/>
      <c r="V14" s="5"/>
      <c r="W14" s="5"/>
      <c r="X14" s="5"/>
      <c r="Y14" s="5"/>
      <c r="Z14" s="5"/>
      <c r="AA14" s="5"/>
    </row>
    <row r="15">
      <c r="A15" s="7" t="s">
        <v>3</v>
      </c>
      <c r="B15" s="7" t="s">
        <v>145</v>
      </c>
      <c r="C15" s="23">
        <f t="shared" si="5"/>
        <v>3</v>
      </c>
      <c r="D15" s="17">
        <f>IFERROR(__xludf.DUMMYFUNCTION("IF(C15, COUNTIF(FILTER($D$19:$D1000, $A$19:$A1000=A15), TRUE)/C15, 0)"),0.0)</f>
        <v>0</v>
      </c>
      <c r="E15" s="67"/>
      <c r="F15" s="68"/>
      <c r="G15" s="7"/>
      <c r="H15" s="46"/>
      <c r="I15" s="7"/>
      <c r="J15" s="5"/>
      <c r="K15" s="5"/>
      <c r="L15" s="5"/>
      <c r="M15" s="5"/>
      <c r="N15" s="5"/>
      <c r="O15" s="5"/>
      <c r="P15" s="5"/>
      <c r="Q15" s="5"/>
      <c r="R15" s="5"/>
      <c r="S15" s="5"/>
      <c r="T15" s="5"/>
      <c r="U15" s="5"/>
      <c r="V15" s="5"/>
      <c r="W15" s="5"/>
      <c r="X15" s="5"/>
      <c r="Y15" s="5"/>
      <c r="Z15" s="5"/>
      <c r="AA15" s="5"/>
    </row>
    <row r="16">
      <c r="A16" s="7" t="s">
        <v>4</v>
      </c>
      <c r="B16" s="7" t="s">
        <v>148</v>
      </c>
      <c r="C16" s="23">
        <f t="shared" si="5"/>
        <v>4</v>
      </c>
      <c r="D16" s="17">
        <f>IFERROR(__xludf.DUMMYFUNCTION("IF(C16, COUNTIF(FILTER($D$19:$D1000, $A$19:$A1000=A16), TRUE)/C16, 0)"),0.0)</f>
        <v>0</v>
      </c>
      <c r="E16" s="67"/>
      <c r="F16" s="68"/>
      <c r="G16" s="7"/>
      <c r="H16" s="46"/>
      <c r="I16" s="7"/>
      <c r="J16" s="5"/>
      <c r="K16" s="5"/>
      <c r="L16" s="5"/>
      <c r="M16" s="5"/>
      <c r="N16" s="5"/>
      <c r="O16" s="5"/>
      <c r="P16" s="5"/>
      <c r="Q16" s="5"/>
      <c r="R16" s="5"/>
      <c r="S16" s="5"/>
      <c r="T16" s="5"/>
      <c r="U16" s="5"/>
      <c r="V16" s="5"/>
      <c r="W16" s="5"/>
      <c r="X16" s="5"/>
      <c r="Y16" s="5"/>
      <c r="Z16" s="5"/>
      <c r="AA16" s="5"/>
    </row>
    <row r="17">
      <c r="A17" s="7" t="s">
        <v>5</v>
      </c>
      <c r="B17" s="7" t="s">
        <v>151</v>
      </c>
      <c r="C17" s="23">
        <f t="shared" si="5"/>
        <v>8</v>
      </c>
      <c r="D17" s="17">
        <f>IFERROR(__xludf.DUMMYFUNCTION("IF(C17, COUNTIF(FILTER($D$19:$D1000, $A$19:$A1000=A17), TRUE)/C17, 0)"),0.0)</f>
        <v>0</v>
      </c>
      <c r="E17" s="67"/>
      <c r="F17" s="68"/>
      <c r="G17" s="7"/>
      <c r="H17" s="46"/>
      <c r="I17" s="7"/>
      <c r="J17" s="5"/>
      <c r="K17" s="5"/>
      <c r="L17" s="5"/>
      <c r="M17" s="5"/>
      <c r="N17" s="5"/>
      <c r="O17" s="5"/>
      <c r="P17" s="5"/>
      <c r="Q17" s="5"/>
      <c r="R17" s="5"/>
      <c r="S17" s="5"/>
      <c r="T17" s="5"/>
      <c r="U17" s="5"/>
      <c r="V17" s="5"/>
      <c r="W17" s="5"/>
      <c r="X17" s="5"/>
      <c r="Y17" s="5"/>
      <c r="Z17" s="5"/>
      <c r="AA17" s="5"/>
    </row>
    <row r="18">
      <c r="A18" s="71"/>
      <c r="B18" s="1" t="s">
        <v>6</v>
      </c>
      <c r="C18" s="23">
        <f>SUM(C14:C17)</f>
        <v>18</v>
      </c>
      <c r="D18" s="17">
        <f>COUNTIF($D$19:$D1000, TRUE)/SUM($C$14:$C$17)</f>
        <v>0.05555555556</v>
      </c>
      <c r="E18" s="67"/>
      <c r="F18" s="68"/>
      <c r="G18" s="7"/>
      <c r="H18" s="46"/>
      <c r="I18" s="7"/>
      <c r="J18" s="5"/>
      <c r="K18" s="5"/>
      <c r="L18" s="5"/>
      <c r="M18" s="5"/>
      <c r="N18" s="5"/>
      <c r="O18" s="5"/>
      <c r="P18" s="5"/>
      <c r="Q18" s="5"/>
      <c r="R18" s="5"/>
      <c r="S18" s="5"/>
      <c r="T18" s="5"/>
      <c r="U18" s="5"/>
      <c r="V18" s="5"/>
      <c r="W18" s="5"/>
      <c r="X18" s="5"/>
      <c r="Y18" s="5"/>
      <c r="Z18" s="5"/>
      <c r="AA18" s="5"/>
    </row>
    <row r="19">
      <c r="A19" s="7" t="s">
        <v>4</v>
      </c>
      <c r="B19" s="7" t="s">
        <v>161</v>
      </c>
      <c r="C19" s="67">
        <v>1.0</v>
      </c>
      <c r="D19" s="79" t="b">
        <v>0</v>
      </c>
      <c r="E19" s="67"/>
      <c r="F19" s="68"/>
      <c r="G19" s="7"/>
      <c r="H19" s="46"/>
      <c r="I19" s="7"/>
      <c r="J19" s="5"/>
      <c r="K19" s="5"/>
      <c r="L19" s="5"/>
      <c r="M19" s="5"/>
      <c r="N19" s="5"/>
      <c r="O19" s="5"/>
      <c r="P19" s="5"/>
      <c r="Q19" s="5"/>
      <c r="R19" s="5"/>
      <c r="S19" s="5"/>
      <c r="T19" s="5"/>
      <c r="U19" s="5"/>
      <c r="V19" s="5"/>
      <c r="W19" s="5"/>
      <c r="X19" s="5"/>
      <c r="Y19" s="5"/>
      <c r="Z19" s="5"/>
      <c r="AA19" s="5"/>
    </row>
    <row r="20">
      <c r="A20" s="7" t="s">
        <v>141</v>
      </c>
      <c r="B20" s="7" t="s">
        <v>893</v>
      </c>
      <c r="C20" s="67">
        <v>8.0</v>
      </c>
      <c r="D20" s="79" t="b">
        <v>0</v>
      </c>
      <c r="E20" s="67"/>
      <c r="F20" s="68"/>
      <c r="G20" s="7"/>
      <c r="H20" s="46"/>
      <c r="I20" s="7"/>
      <c r="J20" s="5"/>
      <c r="K20" s="5"/>
      <c r="L20" s="5"/>
      <c r="M20" s="5"/>
      <c r="N20" s="5"/>
      <c r="O20" s="5"/>
      <c r="P20" s="5"/>
      <c r="Q20" s="5"/>
      <c r="R20" s="5"/>
      <c r="S20" s="5"/>
      <c r="T20" s="5"/>
      <c r="U20" s="5"/>
      <c r="V20" s="5"/>
      <c r="W20" s="5"/>
      <c r="X20" s="5"/>
      <c r="Y20" s="5"/>
      <c r="Z20" s="5"/>
      <c r="AA20" s="5"/>
    </row>
    <row r="21">
      <c r="A21" s="7" t="s">
        <v>3</v>
      </c>
      <c r="B21" s="7" t="s">
        <v>896</v>
      </c>
      <c r="C21" s="67">
        <v>11.0</v>
      </c>
      <c r="D21" s="79" t="b">
        <v>0</v>
      </c>
      <c r="E21" s="67"/>
      <c r="F21" s="68"/>
      <c r="G21" s="7"/>
      <c r="H21" s="46"/>
      <c r="I21" s="7"/>
      <c r="J21" s="5"/>
      <c r="K21" s="5"/>
      <c r="L21" s="5"/>
      <c r="M21" s="5"/>
      <c r="N21" s="5"/>
      <c r="O21" s="5"/>
      <c r="P21" s="5"/>
      <c r="Q21" s="5"/>
      <c r="R21" s="5"/>
      <c r="S21" s="5"/>
      <c r="T21" s="5"/>
      <c r="U21" s="5"/>
      <c r="V21" s="5"/>
      <c r="W21" s="5"/>
      <c r="X21" s="5"/>
      <c r="Y21" s="5"/>
      <c r="Z21" s="5"/>
      <c r="AA21" s="5"/>
    </row>
    <row r="22">
      <c r="A22" s="7" t="s">
        <v>141</v>
      </c>
      <c r="B22" s="7" t="s">
        <v>899</v>
      </c>
      <c r="C22" s="67">
        <v>20.0</v>
      </c>
      <c r="D22" s="79" t="b">
        <v>1</v>
      </c>
      <c r="E22" s="67"/>
      <c r="F22" s="68"/>
      <c r="G22" s="7"/>
      <c r="H22" s="46"/>
      <c r="I22" s="7"/>
      <c r="J22" s="5"/>
      <c r="K22" s="5"/>
      <c r="L22" s="5"/>
      <c r="M22" s="5"/>
      <c r="N22" s="5"/>
      <c r="O22" s="5"/>
      <c r="P22" s="5"/>
      <c r="Q22" s="5"/>
      <c r="R22" s="5"/>
      <c r="S22" s="5"/>
      <c r="T22" s="5"/>
      <c r="U22" s="5"/>
      <c r="V22" s="5"/>
      <c r="W22" s="5"/>
      <c r="X22" s="5"/>
      <c r="Y22" s="5"/>
      <c r="Z22" s="5"/>
      <c r="AA22" s="5"/>
    </row>
    <row r="23">
      <c r="A23" s="7" t="s">
        <v>4</v>
      </c>
      <c r="B23" s="7" t="s">
        <v>167</v>
      </c>
      <c r="C23" s="67">
        <v>45.0</v>
      </c>
      <c r="D23" s="79" t="b">
        <v>0</v>
      </c>
      <c r="E23" s="67"/>
      <c r="F23" s="68"/>
      <c r="G23" s="7"/>
      <c r="H23" s="46"/>
      <c r="I23" s="7"/>
      <c r="J23" s="5"/>
      <c r="K23" s="5"/>
      <c r="L23" s="5"/>
      <c r="M23" s="5"/>
      <c r="N23" s="5"/>
      <c r="O23" s="5"/>
      <c r="P23" s="5"/>
      <c r="Q23" s="5"/>
      <c r="R23" s="5"/>
      <c r="S23" s="5"/>
      <c r="T23" s="5"/>
      <c r="U23" s="5"/>
      <c r="V23" s="5"/>
      <c r="W23" s="5"/>
      <c r="X23" s="5"/>
      <c r="Y23" s="5"/>
      <c r="Z23" s="5"/>
      <c r="AA23" s="5"/>
    </row>
    <row r="24">
      <c r="A24" s="7" t="s">
        <v>4</v>
      </c>
      <c r="B24" s="7" t="s">
        <v>170</v>
      </c>
      <c r="C24" s="67">
        <v>45.0</v>
      </c>
      <c r="D24" s="79" t="b">
        <v>0</v>
      </c>
      <c r="E24" s="67"/>
      <c r="F24" s="68"/>
      <c r="G24" s="7"/>
      <c r="H24" s="46"/>
      <c r="I24" s="7"/>
      <c r="J24" s="5"/>
      <c r="K24" s="5"/>
      <c r="L24" s="5"/>
      <c r="M24" s="5"/>
      <c r="N24" s="5"/>
      <c r="O24" s="5"/>
      <c r="P24" s="5"/>
      <c r="Q24" s="5"/>
      <c r="R24" s="5"/>
      <c r="S24" s="5"/>
      <c r="T24" s="5"/>
      <c r="U24" s="5"/>
      <c r="V24" s="5"/>
      <c r="W24" s="5"/>
      <c r="X24" s="5"/>
      <c r="Y24" s="5"/>
      <c r="Z24" s="5"/>
      <c r="AA24" s="5"/>
    </row>
    <row r="25">
      <c r="A25" s="7" t="s">
        <v>5</v>
      </c>
      <c r="B25" s="71" t="s">
        <v>906</v>
      </c>
      <c r="C25" s="67">
        <v>46.0</v>
      </c>
      <c r="D25" s="79" t="b">
        <v>0</v>
      </c>
      <c r="E25" s="67"/>
      <c r="F25" s="68"/>
      <c r="G25" s="7"/>
      <c r="H25" s="46"/>
      <c r="I25" s="7"/>
      <c r="J25" s="5"/>
      <c r="K25" s="5"/>
      <c r="L25" s="5"/>
      <c r="M25" s="5"/>
      <c r="N25" s="5"/>
      <c r="O25" s="5"/>
      <c r="P25" s="5"/>
      <c r="Q25" s="5"/>
      <c r="R25" s="5"/>
      <c r="S25" s="5"/>
      <c r="T25" s="5"/>
      <c r="U25" s="5"/>
      <c r="V25" s="5"/>
      <c r="W25" s="5"/>
      <c r="X25" s="5"/>
      <c r="Y25" s="5"/>
      <c r="Z25" s="5"/>
      <c r="AA25" s="5"/>
    </row>
    <row r="26">
      <c r="A26" s="7" t="s">
        <v>5</v>
      </c>
      <c r="B26" s="71" t="s">
        <v>908</v>
      </c>
      <c r="C26" s="67">
        <v>46.0</v>
      </c>
      <c r="D26" s="79" t="b">
        <v>0</v>
      </c>
      <c r="E26" s="67"/>
      <c r="F26" s="68"/>
      <c r="G26" s="7"/>
      <c r="H26" s="46"/>
      <c r="I26" s="7"/>
      <c r="J26" s="5"/>
      <c r="K26" s="5"/>
      <c r="L26" s="5"/>
      <c r="M26" s="5"/>
      <c r="N26" s="5"/>
      <c r="O26" s="5"/>
      <c r="P26" s="5"/>
      <c r="Q26" s="5"/>
      <c r="R26" s="5"/>
      <c r="S26" s="5"/>
      <c r="T26" s="5"/>
      <c r="U26" s="5"/>
      <c r="V26" s="5"/>
      <c r="W26" s="5"/>
      <c r="X26" s="5"/>
      <c r="Y26" s="5"/>
      <c r="Z26" s="5"/>
      <c r="AA26" s="5"/>
    </row>
    <row r="27">
      <c r="A27" s="7" t="s">
        <v>3</v>
      </c>
      <c r="B27" s="71" t="s">
        <v>911</v>
      </c>
      <c r="C27" s="67">
        <v>47.0</v>
      </c>
      <c r="D27" s="79" t="b">
        <v>0</v>
      </c>
      <c r="E27" s="67"/>
      <c r="F27" s="68"/>
      <c r="G27" s="7"/>
      <c r="H27" s="46"/>
      <c r="I27" s="7"/>
      <c r="J27" s="5"/>
      <c r="K27" s="5"/>
      <c r="L27" s="5"/>
      <c r="M27" s="5"/>
      <c r="N27" s="5"/>
      <c r="O27" s="5"/>
      <c r="P27" s="5"/>
      <c r="Q27" s="5"/>
      <c r="R27" s="5"/>
      <c r="S27" s="5"/>
      <c r="T27" s="5"/>
      <c r="U27" s="5"/>
      <c r="V27" s="5"/>
      <c r="W27" s="5"/>
      <c r="X27" s="5"/>
      <c r="Y27" s="5"/>
      <c r="Z27" s="5"/>
      <c r="AA27" s="5"/>
    </row>
    <row r="28">
      <c r="A28" s="7" t="s">
        <v>5</v>
      </c>
      <c r="B28" s="71" t="s">
        <v>914</v>
      </c>
      <c r="C28" s="67">
        <v>64.0</v>
      </c>
      <c r="D28" s="79" t="b">
        <v>0</v>
      </c>
      <c r="E28" s="67"/>
      <c r="F28" s="68"/>
      <c r="G28" s="7"/>
      <c r="H28" s="46"/>
      <c r="I28" s="7"/>
      <c r="J28" s="5"/>
      <c r="K28" s="5"/>
      <c r="L28" s="5"/>
      <c r="M28" s="5"/>
      <c r="N28" s="5"/>
      <c r="O28" s="5"/>
      <c r="P28" s="5"/>
      <c r="Q28" s="5"/>
      <c r="R28" s="5"/>
      <c r="S28" s="5"/>
      <c r="T28" s="5"/>
      <c r="U28" s="5"/>
      <c r="V28" s="5"/>
      <c r="W28" s="5"/>
      <c r="X28" s="5"/>
      <c r="Y28" s="5"/>
      <c r="Z28" s="5"/>
      <c r="AA28" s="5"/>
    </row>
    <row r="29">
      <c r="A29" s="7" t="s">
        <v>5</v>
      </c>
      <c r="B29" s="71" t="s">
        <v>917</v>
      </c>
      <c r="C29" s="67">
        <v>70.0</v>
      </c>
      <c r="D29" s="79" t="b">
        <v>0</v>
      </c>
      <c r="E29" s="67"/>
      <c r="F29" s="68"/>
      <c r="G29" s="7"/>
      <c r="H29" s="46"/>
      <c r="I29" s="7"/>
      <c r="J29" s="5"/>
      <c r="K29" s="5"/>
      <c r="L29" s="5"/>
      <c r="M29" s="5"/>
      <c r="N29" s="5"/>
      <c r="O29" s="5"/>
      <c r="P29" s="5"/>
      <c r="Q29" s="5"/>
      <c r="R29" s="5"/>
      <c r="S29" s="5"/>
      <c r="T29" s="5"/>
      <c r="U29" s="5"/>
      <c r="V29" s="5"/>
      <c r="W29" s="5"/>
      <c r="X29" s="5"/>
      <c r="Y29" s="5"/>
      <c r="Z29" s="5"/>
      <c r="AA29" s="5"/>
    </row>
    <row r="30">
      <c r="A30" s="7" t="s">
        <v>5</v>
      </c>
      <c r="B30" s="71" t="s">
        <v>920</v>
      </c>
      <c r="C30" s="67">
        <v>79.0</v>
      </c>
      <c r="D30" s="79" t="b">
        <v>0</v>
      </c>
      <c r="E30" s="67"/>
      <c r="F30" s="68"/>
      <c r="G30" s="7"/>
      <c r="H30" s="46"/>
      <c r="I30" s="7"/>
      <c r="J30" s="5"/>
      <c r="K30" s="5"/>
      <c r="L30" s="5"/>
      <c r="M30" s="5"/>
      <c r="N30" s="5"/>
      <c r="O30" s="5"/>
      <c r="P30" s="5"/>
      <c r="Q30" s="5"/>
      <c r="R30" s="5"/>
      <c r="S30" s="5"/>
      <c r="T30" s="5"/>
      <c r="U30" s="5"/>
      <c r="V30" s="5"/>
      <c r="W30" s="5"/>
      <c r="X30" s="5"/>
      <c r="Y30" s="5"/>
      <c r="Z30" s="5"/>
      <c r="AA30" s="5"/>
    </row>
    <row r="31">
      <c r="A31" s="7" t="s">
        <v>5</v>
      </c>
      <c r="B31" s="71" t="s">
        <v>923</v>
      </c>
      <c r="C31" s="67">
        <v>80.0</v>
      </c>
      <c r="D31" s="79" t="b">
        <v>0</v>
      </c>
      <c r="E31" s="67"/>
      <c r="F31" s="68"/>
      <c r="G31" s="7"/>
      <c r="H31" s="46"/>
      <c r="I31" s="7"/>
      <c r="J31" s="5"/>
      <c r="K31" s="5"/>
      <c r="L31" s="5"/>
      <c r="M31" s="5"/>
      <c r="N31" s="5"/>
      <c r="O31" s="5"/>
      <c r="P31" s="5"/>
      <c r="Q31" s="5"/>
      <c r="R31" s="5"/>
      <c r="S31" s="5"/>
      <c r="T31" s="5"/>
      <c r="U31" s="5"/>
      <c r="V31" s="5"/>
      <c r="W31" s="5"/>
      <c r="X31" s="5"/>
      <c r="Y31" s="5"/>
      <c r="Z31" s="5"/>
      <c r="AA31" s="5"/>
    </row>
    <row r="32">
      <c r="A32" s="7" t="s">
        <v>3</v>
      </c>
      <c r="B32" s="71" t="s">
        <v>926</v>
      </c>
      <c r="C32" s="67">
        <v>85.0</v>
      </c>
      <c r="D32" s="79" t="b">
        <v>0</v>
      </c>
      <c r="E32" s="67"/>
      <c r="F32" s="68"/>
      <c r="G32" s="7"/>
      <c r="H32" s="46"/>
      <c r="I32" s="7"/>
      <c r="J32" s="5"/>
      <c r="K32" s="5"/>
      <c r="L32" s="5"/>
      <c r="M32" s="5"/>
      <c r="N32" s="5"/>
      <c r="O32" s="5"/>
      <c r="P32" s="5"/>
      <c r="Q32" s="5"/>
      <c r="R32" s="5"/>
      <c r="S32" s="5"/>
      <c r="T32" s="5"/>
      <c r="U32" s="5"/>
      <c r="V32" s="5"/>
      <c r="W32" s="5"/>
      <c r="X32" s="5"/>
      <c r="Y32" s="5"/>
      <c r="Z32" s="5"/>
      <c r="AA32" s="5"/>
    </row>
    <row r="33">
      <c r="A33" s="7" t="s">
        <v>141</v>
      </c>
      <c r="B33" s="71" t="s">
        <v>929</v>
      </c>
      <c r="C33" s="67">
        <v>86.0</v>
      </c>
      <c r="D33" s="79" t="b">
        <v>0</v>
      </c>
      <c r="E33" s="67"/>
      <c r="F33" s="68"/>
      <c r="G33" s="7"/>
      <c r="H33" s="46"/>
      <c r="I33" s="7"/>
      <c r="J33" s="5"/>
      <c r="K33" s="5"/>
      <c r="L33" s="5"/>
      <c r="M33" s="5"/>
      <c r="N33" s="5"/>
      <c r="O33" s="5"/>
      <c r="P33" s="5"/>
      <c r="Q33" s="5"/>
      <c r="R33" s="5"/>
      <c r="S33" s="5"/>
      <c r="T33" s="5"/>
      <c r="U33" s="5"/>
      <c r="V33" s="5"/>
      <c r="W33" s="5"/>
      <c r="X33" s="5"/>
      <c r="Y33" s="5"/>
      <c r="Z33" s="5"/>
      <c r="AA33" s="5"/>
    </row>
    <row r="34">
      <c r="A34" s="7" t="s">
        <v>5</v>
      </c>
      <c r="B34" s="71" t="s">
        <v>932</v>
      </c>
      <c r="C34" s="67">
        <v>90.0</v>
      </c>
      <c r="D34" s="79" t="b">
        <v>0</v>
      </c>
      <c r="E34" s="75"/>
      <c r="F34" s="68"/>
      <c r="G34" s="5"/>
      <c r="H34" s="46"/>
      <c r="I34" s="5"/>
      <c r="J34" s="5"/>
      <c r="K34" s="5"/>
      <c r="L34" s="5"/>
      <c r="M34" s="5"/>
      <c r="N34" s="5"/>
      <c r="O34" s="5"/>
      <c r="P34" s="5"/>
      <c r="Q34" s="5"/>
      <c r="R34" s="5"/>
      <c r="S34" s="5"/>
      <c r="T34" s="5"/>
      <c r="U34" s="5"/>
      <c r="V34" s="5"/>
      <c r="W34" s="5"/>
      <c r="X34" s="5"/>
      <c r="Y34" s="5"/>
      <c r="Z34" s="5"/>
      <c r="AA34" s="5"/>
    </row>
    <row r="35">
      <c r="A35" s="7" t="s">
        <v>5</v>
      </c>
      <c r="B35" s="71" t="s">
        <v>935</v>
      </c>
      <c r="C35" s="67">
        <v>90.0</v>
      </c>
      <c r="D35" s="79" t="b">
        <v>0</v>
      </c>
      <c r="E35" s="75"/>
      <c r="F35" s="68"/>
      <c r="G35" s="5"/>
      <c r="H35" s="46"/>
      <c r="I35" s="5"/>
      <c r="J35" s="5"/>
      <c r="K35" s="5"/>
      <c r="L35" s="5"/>
      <c r="M35" s="5"/>
      <c r="N35" s="5"/>
      <c r="O35" s="5"/>
      <c r="P35" s="5"/>
      <c r="Q35" s="5"/>
      <c r="R35" s="5"/>
      <c r="S35" s="5"/>
      <c r="T35" s="5"/>
      <c r="U35" s="5"/>
      <c r="V35" s="5"/>
      <c r="W35" s="5"/>
      <c r="X35" s="5"/>
      <c r="Y35" s="5"/>
      <c r="Z35" s="5"/>
      <c r="AA35" s="5"/>
    </row>
    <row r="36">
      <c r="A36" s="7" t="s">
        <v>4</v>
      </c>
      <c r="B36" s="71" t="s">
        <v>195</v>
      </c>
      <c r="C36" s="67">
        <v>90.0</v>
      </c>
      <c r="D36" s="79" t="b">
        <v>0</v>
      </c>
      <c r="E36" s="75"/>
      <c r="F36" s="68"/>
      <c r="G36" s="5"/>
      <c r="H36" s="46"/>
      <c r="I36" s="5"/>
      <c r="J36" s="5"/>
      <c r="K36" s="5"/>
      <c r="L36" s="5"/>
      <c r="M36" s="5"/>
      <c r="N36" s="5"/>
      <c r="O36" s="5"/>
      <c r="P36" s="5"/>
      <c r="Q36" s="5"/>
      <c r="R36" s="5"/>
      <c r="S36" s="5"/>
      <c r="T36" s="5"/>
      <c r="U36" s="5"/>
      <c r="V36" s="5"/>
      <c r="W36" s="5"/>
      <c r="X36" s="5"/>
      <c r="Y36" s="5"/>
      <c r="Z36" s="5"/>
      <c r="AA36" s="5"/>
    </row>
    <row r="37">
      <c r="A37" s="5"/>
      <c r="B37" s="71"/>
      <c r="C37" s="25"/>
      <c r="D37" s="5"/>
      <c r="E37" s="71"/>
      <c r="F37" s="76"/>
      <c r="G37" s="5"/>
      <c r="H37" s="46"/>
      <c r="I37" s="5"/>
      <c r="J37" s="5"/>
      <c r="K37" s="5"/>
      <c r="L37" s="5"/>
      <c r="M37" s="5"/>
      <c r="N37" s="5"/>
      <c r="O37" s="5"/>
      <c r="P37" s="5"/>
      <c r="Q37" s="5"/>
      <c r="R37" s="5"/>
      <c r="S37" s="5"/>
      <c r="T37" s="5"/>
      <c r="U37" s="5"/>
      <c r="V37" s="5"/>
      <c r="W37" s="5"/>
      <c r="X37" s="5"/>
      <c r="Y37" s="5"/>
      <c r="Z37" s="5"/>
      <c r="AA37" s="5"/>
    </row>
    <row r="38">
      <c r="A38" s="46"/>
      <c r="B38" s="46"/>
      <c r="C38" s="77"/>
      <c r="D38" s="5"/>
      <c r="E38" s="71"/>
      <c r="F38" s="76"/>
      <c r="G38" s="5"/>
      <c r="H38" s="46"/>
      <c r="I38" s="5"/>
      <c r="J38" s="5"/>
      <c r="K38" s="5"/>
      <c r="L38" s="5"/>
      <c r="M38" s="5"/>
      <c r="N38" s="5"/>
      <c r="O38" s="5"/>
      <c r="P38" s="5"/>
      <c r="Q38" s="5"/>
      <c r="R38" s="5"/>
      <c r="S38" s="5"/>
      <c r="T38" s="5"/>
      <c r="U38" s="5"/>
      <c r="V38" s="5"/>
      <c r="W38" s="5"/>
      <c r="X38" s="5"/>
      <c r="Y38" s="5"/>
      <c r="Z38" s="5"/>
      <c r="AA38" s="5"/>
    </row>
    <row r="39">
      <c r="A39" s="46"/>
      <c r="B39" s="46"/>
      <c r="C39" s="77"/>
      <c r="D39" s="5"/>
      <c r="E39" s="71"/>
      <c r="F39" s="76"/>
      <c r="G39" s="5"/>
      <c r="H39" s="46"/>
      <c r="I39" s="5"/>
      <c r="J39" s="5"/>
      <c r="K39" s="5"/>
      <c r="L39" s="5"/>
      <c r="M39" s="5"/>
      <c r="N39" s="5"/>
      <c r="O39" s="5"/>
      <c r="P39" s="5"/>
      <c r="Q39" s="5"/>
      <c r="R39" s="5"/>
      <c r="S39" s="5"/>
      <c r="T39" s="5"/>
      <c r="U39" s="5"/>
      <c r="V39" s="5"/>
      <c r="W39" s="5"/>
      <c r="X39" s="5"/>
      <c r="Y39" s="5"/>
      <c r="Z39" s="5"/>
      <c r="AA39" s="5"/>
    </row>
    <row r="40">
      <c r="A40" s="46"/>
      <c r="B40" s="46"/>
      <c r="C40" s="77"/>
      <c r="D40" s="5"/>
      <c r="E40" s="71"/>
      <c r="F40" s="76"/>
      <c r="G40" s="5"/>
      <c r="H40" s="46"/>
      <c r="I40" s="5"/>
      <c r="J40" s="5"/>
      <c r="K40" s="5"/>
      <c r="L40" s="5"/>
      <c r="M40" s="5"/>
      <c r="N40" s="5"/>
      <c r="O40" s="5"/>
      <c r="P40" s="5"/>
      <c r="Q40" s="5"/>
      <c r="R40" s="5"/>
      <c r="S40" s="5"/>
      <c r="T40" s="5"/>
      <c r="U40" s="5"/>
      <c r="V40" s="5"/>
      <c r="W40" s="5"/>
      <c r="X40" s="5"/>
      <c r="Y40" s="5"/>
      <c r="Z40" s="5"/>
      <c r="AA40" s="5"/>
    </row>
    <row r="41">
      <c r="A41" s="5"/>
      <c r="B41" s="71"/>
      <c r="C41" s="25"/>
      <c r="D41" s="5"/>
      <c r="E41" s="71"/>
      <c r="F41" s="76"/>
      <c r="G41" s="5"/>
      <c r="H41" s="46"/>
      <c r="I41" s="5"/>
      <c r="J41" s="5"/>
      <c r="K41" s="5"/>
      <c r="L41" s="5"/>
      <c r="M41" s="5"/>
      <c r="N41" s="5"/>
      <c r="O41" s="5"/>
      <c r="P41" s="5"/>
      <c r="Q41" s="5"/>
      <c r="R41" s="5"/>
      <c r="S41" s="5"/>
      <c r="T41" s="5"/>
      <c r="U41" s="5"/>
      <c r="V41" s="5"/>
      <c r="W41" s="5"/>
      <c r="X41" s="5"/>
      <c r="Y41" s="5"/>
      <c r="Z41" s="5"/>
      <c r="AA41" s="5"/>
    </row>
    <row r="42">
      <c r="A42" s="5"/>
      <c r="B42" s="71"/>
      <c r="C42" s="25"/>
      <c r="D42" s="5"/>
      <c r="E42" s="71"/>
      <c r="F42" s="76"/>
      <c r="G42" s="5"/>
      <c r="H42" s="46"/>
      <c r="I42" s="5"/>
      <c r="J42" s="5"/>
      <c r="K42" s="5"/>
      <c r="L42" s="5"/>
      <c r="M42" s="5"/>
      <c r="N42" s="5"/>
      <c r="O42" s="5"/>
      <c r="P42" s="5"/>
      <c r="Q42" s="5"/>
      <c r="R42" s="5"/>
      <c r="S42" s="5"/>
      <c r="T42" s="5"/>
      <c r="U42" s="5"/>
      <c r="V42" s="5"/>
      <c r="W42" s="5"/>
      <c r="X42" s="5"/>
      <c r="Y42" s="5"/>
      <c r="Z42" s="5"/>
      <c r="AA42" s="5"/>
    </row>
    <row r="43">
      <c r="A43" s="71"/>
      <c r="B43" s="71"/>
      <c r="C43" s="71"/>
      <c r="D43" s="71"/>
      <c r="E43" s="71"/>
      <c r="F43" s="76"/>
      <c r="G43" s="5"/>
      <c r="H43" s="46"/>
      <c r="I43" s="5"/>
      <c r="J43" s="5"/>
      <c r="K43" s="5"/>
      <c r="L43" s="5"/>
      <c r="M43" s="5"/>
      <c r="N43" s="5"/>
      <c r="O43" s="5"/>
      <c r="P43" s="5"/>
      <c r="Q43" s="5"/>
      <c r="R43" s="5"/>
      <c r="S43" s="5"/>
      <c r="T43" s="5"/>
      <c r="U43" s="5"/>
      <c r="V43" s="5"/>
      <c r="W43" s="5"/>
      <c r="X43" s="5"/>
      <c r="Y43" s="5"/>
      <c r="Z43" s="5"/>
      <c r="AA43" s="5"/>
    </row>
    <row r="44">
      <c r="A44" s="5"/>
      <c r="B44" s="5"/>
      <c r="C44" s="5"/>
      <c r="D44" s="5"/>
      <c r="E44" s="5"/>
      <c r="F44" s="76"/>
      <c r="G44" s="5"/>
      <c r="H44" s="46"/>
      <c r="I44" s="5"/>
      <c r="J44" s="5"/>
      <c r="K44" s="5"/>
      <c r="L44" s="5"/>
      <c r="M44" s="5"/>
      <c r="N44" s="5"/>
      <c r="O44" s="5"/>
      <c r="P44" s="5"/>
      <c r="Q44" s="5"/>
      <c r="R44" s="5"/>
      <c r="S44" s="5"/>
      <c r="T44" s="5"/>
      <c r="U44" s="5"/>
      <c r="V44" s="5"/>
      <c r="W44" s="5"/>
      <c r="X44" s="5"/>
      <c r="Y44" s="5"/>
      <c r="Z44" s="5"/>
      <c r="AA44" s="5"/>
    </row>
    <row r="45">
      <c r="A45" s="5"/>
      <c r="B45" s="5"/>
      <c r="C45" s="5"/>
      <c r="D45" s="5"/>
      <c r="E45" s="5"/>
      <c r="F45" s="76"/>
      <c r="G45" s="5"/>
      <c r="H45" s="46"/>
      <c r="I45" s="5"/>
      <c r="J45" s="5"/>
      <c r="K45" s="5"/>
      <c r="L45" s="5"/>
      <c r="M45" s="5"/>
      <c r="N45" s="5"/>
      <c r="O45" s="5"/>
      <c r="P45" s="5"/>
      <c r="Q45" s="5"/>
      <c r="R45" s="5"/>
      <c r="S45" s="5"/>
      <c r="T45" s="5"/>
      <c r="U45" s="5"/>
      <c r="V45" s="5"/>
      <c r="W45" s="5"/>
      <c r="X45" s="5"/>
      <c r="Y45" s="5"/>
      <c r="Z45" s="5"/>
      <c r="AA45" s="5"/>
    </row>
    <row r="46">
      <c r="A46" s="5"/>
      <c r="B46" s="5"/>
      <c r="C46" s="5"/>
      <c r="D46" s="5"/>
      <c r="E46" s="5"/>
      <c r="F46" s="76"/>
      <c r="G46" s="5"/>
      <c r="H46" s="46"/>
      <c r="I46" s="5"/>
      <c r="J46" s="5"/>
      <c r="K46" s="5"/>
      <c r="L46" s="5"/>
      <c r="M46" s="5"/>
      <c r="N46" s="5"/>
      <c r="O46" s="5"/>
      <c r="P46" s="5"/>
      <c r="Q46" s="5"/>
      <c r="R46" s="5"/>
      <c r="S46" s="5"/>
      <c r="T46" s="5"/>
      <c r="U46" s="5"/>
      <c r="V46" s="5"/>
      <c r="W46" s="5"/>
      <c r="X46" s="5"/>
      <c r="Y46" s="5"/>
      <c r="Z46" s="5"/>
      <c r="AA46" s="5"/>
    </row>
    <row r="47">
      <c r="A47" s="5"/>
      <c r="B47" s="5"/>
      <c r="C47" s="5"/>
      <c r="D47" s="5"/>
      <c r="E47" s="5"/>
      <c r="F47" s="76"/>
      <c r="G47" s="5"/>
      <c r="H47" s="46"/>
      <c r="I47" s="5"/>
      <c r="J47" s="5"/>
      <c r="K47" s="5"/>
      <c r="L47" s="5"/>
      <c r="M47" s="5"/>
      <c r="N47" s="5"/>
      <c r="O47" s="5"/>
      <c r="P47" s="5"/>
      <c r="Q47" s="5"/>
      <c r="R47" s="5"/>
      <c r="S47" s="5"/>
      <c r="T47" s="5"/>
      <c r="U47" s="5"/>
      <c r="V47" s="5"/>
      <c r="W47" s="5"/>
      <c r="X47" s="5"/>
      <c r="Y47" s="5"/>
      <c r="Z47" s="5"/>
      <c r="AA47" s="5"/>
    </row>
    <row r="48">
      <c r="A48" s="5"/>
      <c r="B48" s="5"/>
      <c r="C48" s="5"/>
      <c r="D48" s="5"/>
      <c r="E48" s="5"/>
      <c r="F48" s="76"/>
      <c r="G48" s="5"/>
      <c r="H48" s="46"/>
      <c r="I48" s="5"/>
      <c r="J48" s="5"/>
      <c r="K48" s="5"/>
      <c r="L48" s="5"/>
      <c r="M48" s="5"/>
      <c r="N48" s="5"/>
      <c r="O48" s="5"/>
      <c r="P48" s="5"/>
      <c r="Q48" s="5"/>
      <c r="R48" s="5"/>
      <c r="S48" s="5"/>
      <c r="T48" s="5"/>
      <c r="U48" s="5"/>
      <c r="V48" s="5"/>
      <c r="W48" s="5"/>
      <c r="X48" s="5"/>
      <c r="Y48" s="5"/>
      <c r="Z48" s="5"/>
      <c r="AA48" s="5"/>
    </row>
    <row r="49">
      <c r="A49" s="5"/>
      <c r="B49" s="5"/>
      <c r="C49" s="5"/>
      <c r="D49" s="5"/>
      <c r="E49" s="5"/>
      <c r="F49" s="76"/>
      <c r="G49" s="5"/>
      <c r="H49" s="46"/>
      <c r="I49" s="5"/>
      <c r="J49" s="5"/>
      <c r="K49" s="5"/>
      <c r="L49" s="5"/>
      <c r="M49" s="5"/>
      <c r="N49" s="5"/>
      <c r="O49" s="5"/>
      <c r="P49" s="5"/>
      <c r="Q49" s="5"/>
      <c r="R49" s="5"/>
      <c r="S49" s="5"/>
      <c r="T49" s="5"/>
      <c r="U49" s="5"/>
      <c r="V49" s="5"/>
      <c r="W49" s="5"/>
      <c r="X49" s="5"/>
      <c r="Y49" s="5"/>
      <c r="Z49" s="5"/>
      <c r="AA49" s="5"/>
    </row>
    <row r="50">
      <c r="A50" s="5"/>
      <c r="B50" s="5"/>
      <c r="C50" s="5"/>
      <c r="D50" s="5"/>
      <c r="E50" s="5"/>
      <c r="F50" s="76"/>
      <c r="G50" s="5"/>
      <c r="H50" s="46"/>
      <c r="I50" s="5"/>
      <c r="J50" s="5"/>
      <c r="K50" s="5"/>
      <c r="L50" s="5"/>
      <c r="M50" s="5"/>
      <c r="N50" s="5"/>
      <c r="O50" s="5"/>
      <c r="P50" s="5"/>
      <c r="Q50" s="5"/>
      <c r="R50" s="5"/>
      <c r="S50" s="5"/>
      <c r="T50" s="5"/>
      <c r="U50" s="5"/>
      <c r="V50" s="5"/>
      <c r="W50" s="5"/>
      <c r="X50" s="5"/>
      <c r="Y50" s="5"/>
      <c r="Z50" s="5"/>
      <c r="AA50" s="5"/>
    </row>
    <row r="51">
      <c r="A51" s="5"/>
      <c r="B51" s="5"/>
      <c r="C51" s="5"/>
      <c r="D51" s="5"/>
      <c r="E51" s="5"/>
      <c r="F51" s="76"/>
      <c r="G51" s="5"/>
      <c r="H51" s="46"/>
      <c r="I51" s="5"/>
      <c r="J51" s="5"/>
      <c r="K51" s="5"/>
      <c r="L51" s="5"/>
      <c r="M51" s="5"/>
      <c r="N51" s="5"/>
      <c r="O51" s="5"/>
      <c r="P51" s="5"/>
      <c r="Q51" s="5"/>
      <c r="R51" s="5"/>
      <c r="S51" s="5"/>
      <c r="T51" s="5"/>
      <c r="U51" s="5"/>
      <c r="V51" s="5"/>
      <c r="W51" s="5"/>
      <c r="X51" s="5"/>
      <c r="Y51" s="5"/>
      <c r="Z51" s="5"/>
      <c r="AA51" s="5"/>
    </row>
    <row r="52">
      <c r="A52" s="5"/>
      <c r="B52" s="5"/>
      <c r="C52" s="5"/>
      <c r="D52" s="5"/>
      <c r="E52" s="5"/>
      <c r="F52" s="76"/>
      <c r="G52" s="5"/>
      <c r="H52" s="46"/>
      <c r="I52" s="5"/>
      <c r="J52" s="5"/>
      <c r="K52" s="5"/>
      <c r="L52" s="5"/>
      <c r="M52" s="5"/>
      <c r="N52" s="5"/>
      <c r="O52" s="5"/>
      <c r="P52" s="5"/>
      <c r="Q52" s="5"/>
      <c r="R52" s="5"/>
      <c r="S52" s="5"/>
      <c r="T52" s="5"/>
      <c r="U52" s="5"/>
      <c r="V52" s="5"/>
      <c r="W52" s="5"/>
      <c r="X52" s="5"/>
      <c r="Y52" s="5"/>
      <c r="Z52" s="5"/>
      <c r="AA52" s="5"/>
    </row>
    <row r="53">
      <c r="A53" s="5"/>
      <c r="B53" s="5"/>
      <c r="C53" s="5"/>
      <c r="D53" s="5"/>
      <c r="E53" s="5"/>
      <c r="F53" s="76"/>
      <c r="G53" s="5"/>
      <c r="H53" s="46"/>
      <c r="I53" s="5"/>
      <c r="J53" s="5"/>
      <c r="K53" s="5"/>
      <c r="L53" s="5"/>
      <c r="M53" s="5"/>
      <c r="N53" s="5"/>
      <c r="O53" s="5"/>
      <c r="P53" s="5"/>
      <c r="Q53" s="5"/>
      <c r="R53" s="5"/>
      <c r="S53" s="5"/>
      <c r="T53" s="5"/>
      <c r="U53" s="5"/>
      <c r="V53" s="5"/>
      <c r="W53" s="5"/>
      <c r="X53" s="5"/>
      <c r="Y53" s="5"/>
      <c r="Z53" s="5"/>
      <c r="AA53" s="5"/>
    </row>
    <row r="54">
      <c r="A54" s="5"/>
      <c r="B54" s="5"/>
      <c r="C54" s="5"/>
      <c r="D54" s="5"/>
      <c r="E54" s="5"/>
      <c r="F54" s="76"/>
      <c r="G54" s="5"/>
      <c r="H54" s="46"/>
      <c r="I54" s="5"/>
      <c r="J54" s="5"/>
      <c r="K54" s="5"/>
      <c r="L54" s="5"/>
      <c r="M54" s="5"/>
      <c r="N54" s="5"/>
      <c r="O54" s="5"/>
      <c r="P54" s="5"/>
      <c r="Q54" s="5"/>
      <c r="R54" s="5"/>
      <c r="S54" s="5"/>
      <c r="T54" s="5"/>
      <c r="U54" s="5"/>
      <c r="V54" s="5"/>
      <c r="W54" s="5"/>
      <c r="X54" s="5"/>
      <c r="Y54" s="5"/>
      <c r="Z54" s="5"/>
      <c r="AA54" s="5"/>
    </row>
    <row r="55">
      <c r="A55" s="5"/>
      <c r="B55" s="5"/>
      <c r="C55" s="5"/>
      <c r="D55" s="5"/>
      <c r="E55" s="5"/>
      <c r="F55" s="76"/>
      <c r="G55" s="5"/>
      <c r="H55" s="46"/>
      <c r="I55" s="5"/>
      <c r="J55" s="5"/>
      <c r="K55" s="5"/>
      <c r="L55" s="5"/>
      <c r="M55" s="5"/>
      <c r="N55" s="5"/>
      <c r="O55" s="5"/>
      <c r="P55" s="5"/>
      <c r="Q55" s="5"/>
      <c r="R55" s="5"/>
      <c r="S55" s="5"/>
      <c r="T55" s="5"/>
      <c r="U55" s="5"/>
      <c r="V55" s="5"/>
      <c r="W55" s="5"/>
      <c r="X55" s="5"/>
      <c r="Y55" s="5"/>
      <c r="Z55" s="5"/>
      <c r="AA55" s="5"/>
    </row>
    <row r="56">
      <c r="A56" s="5"/>
      <c r="B56" s="5"/>
      <c r="C56" s="5"/>
      <c r="D56" s="5"/>
      <c r="E56" s="5"/>
      <c r="F56" s="76"/>
      <c r="G56" s="5"/>
      <c r="H56" s="46"/>
      <c r="I56" s="5"/>
      <c r="J56" s="5"/>
      <c r="K56" s="5"/>
      <c r="L56" s="5"/>
      <c r="M56" s="5"/>
      <c r="N56" s="5"/>
      <c r="O56" s="5"/>
      <c r="P56" s="5"/>
      <c r="Q56" s="5"/>
      <c r="R56" s="5"/>
      <c r="S56" s="5"/>
      <c r="T56" s="5"/>
      <c r="U56" s="5"/>
      <c r="V56" s="5"/>
      <c r="W56" s="5"/>
      <c r="X56" s="5"/>
      <c r="Y56" s="5"/>
      <c r="Z56" s="5"/>
      <c r="AA56" s="5"/>
    </row>
    <row r="57">
      <c r="A57" s="5"/>
      <c r="B57" s="5"/>
      <c r="C57" s="5"/>
      <c r="D57" s="5"/>
      <c r="E57" s="5"/>
      <c r="F57" s="76"/>
      <c r="G57" s="5"/>
      <c r="H57" s="46"/>
      <c r="I57" s="5"/>
      <c r="J57" s="5"/>
      <c r="K57" s="5"/>
      <c r="L57" s="5"/>
      <c r="M57" s="5"/>
      <c r="N57" s="5"/>
      <c r="O57" s="5"/>
      <c r="P57" s="5"/>
      <c r="Q57" s="5"/>
      <c r="R57" s="5"/>
      <c r="S57" s="5"/>
      <c r="T57" s="5"/>
      <c r="U57" s="5"/>
      <c r="V57" s="5"/>
      <c r="W57" s="5"/>
      <c r="X57" s="5"/>
      <c r="Y57" s="5"/>
      <c r="Z57" s="5"/>
      <c r="AA57" s="5"/>
    </row>
    <row r="58">
      <c r="A58" s="5"/>
      <c r="B58" s="5"/>
      <c r="C58" s="5"/>
      <c r="D58" s="5"/>
      <c r="E58" s="5"/>
      <c r="F58" s="76"/>
      <c r="G58" s="5"/>
      <c r="H58" s="46"/>
      <c r="I58" s="5"/>
      <c r="J58" s="5"/>
      <c r="K58" s="5"/>
      <c r="L58" s="5"/>
      <c r="M58" s="5"/>
      <c r="N58" s="5"/>
      <c r="O58" s="5"/>
      <c r="P58" s="5"/>
      <c r="Q58" s="5"/>
      <c r="R58" s="5"/>
      <c r="S58" s="5"/>
      <c r="T58" s="5"/>
      <c r="U58" s="5"/>
      <c r="V58" s="5"/>
      <c r="W58" s="5"/>
      <c r="X58" s="5"/>
      <c r="Y58" s="5"/>
      <c r="Z58" s="5"/>
      <c r="AA58" s="5"/>
    </row>
    <row r="59">
      <c r="A59" s="5"/>
      <c r="B59" s="5"/>
      <c r="C59" s="5"/>
      <c r="D59" s="5"/>
      <c r="E59" s="5"/>
      <c r="F59" s="76"/>
      <c r="G59" s="5"/>
      <c r="H59" s="46"/>
      <c r="I59" s="5"/>
      <c r="J59" s="5"/>
      <c r="K59" s="5"/>
      <c r="L59" s="5"/>
      <c r="M59" s="5"/>
      <c r="N59" s="5"/>
      <c r="O59" s="5"/>
      <c r="P59" s="5"/>
      <c r="Q59" s="5"/>
      <c r="R59" s="5"/>
      <c r="S59" s="5"/>
      <c r="T59" s="5"/>
      <c r="U59" s="5"/>
      <c r="V59" s="5"/>
      <c r="W59" s="5"/>
      <c r="X59" s="5"/>
      <c r="Y59" s="5"/>
      <c r="Z59" s="5"/>
      <c r="AA59" s="5"/>
    </row>
    <row r="60">
      <c r="A60" s="5"/>
      <c r="B60" s="5"/>
      <c r="C60" s="5"/>
      <c r="D60" s="5"/>
      <c r="E60" s="5"/>
      <c r="F60" s="76"/>
      <c r="G60" s="5"/>
      <c r="H60" s="46"/>
      <c r="I60" s="5"/>
      <c r="J60" s="5"/>
      <c r="K60" s="5"/>
      <c r="L60" s="5"/>
      <c r="M60" s="5"/>
      <c r="N60" s="5"/>
      <c r="O60" s="5"/>
      <c r="P60" s="5"/>
      <c r="Q60" s="5"/>
      <c r="R60" s="5"/>
      <c r="S60" s="5"/>
      <c r="T60" s="5"/>
      <c r="U60" s="5"/>
      <c r="V60" s="5"/>
      <c r="W60" s="5"/>
      <c r="X60" s="5"/>
      <c r="Y60" s="5"/>
      <c r="Z60" s="5"/>
      <c r="AA60" s="5"/>
    </row>
    <row r="61">
      <c r="A61" s="5"/>
      <c r="B61" s="5"/>
      <c r="C61" s="5"/>
      <c r="D61" s="5"/>
      <c r="E61" s="5"/>
      <c r="F61" s="76"/>
      <c r="G61" s="5"/>
      <c r="H61" s="46"/>
      <c r="I61" s="5"/>
      <c r="J61" s="5"/>
      <c r="K61" s="5"/>
      <c r="L61" s="5"/>
      <c r="M61" s="5"/>
      <c r="N61" s="5"/>
      <c r="O61" s="5"/>
      <c r="P61" s="5"/>
      <c r="Q61" s="5"/>
      <c r="R61" s="5"/>
      <c r="S61" s="5"/>
      <c r="T61" s="5"/>
      <c r="U61" s="5"/>
      <c r="V61" s="5"/>
      <c r="W61" s="5"/>
      <c r="X61" s="5"/>
      <c r="Y61" s="5"/>
      <c r="Z61" s="5"/>
      <c r="AA61" s="5"/>
    </row>
    <row r="62">
      <c r="A62" s="5"/>
      <c r="B62" s="5"/>
      <c r="C62" s="5"/>
      <c r="D62" s="5"/>
      <c r="E62" s="5"/>
      <c r="F62" s="76"/>
      <c r="G62" s="5"/>
      <c r="H62" s="46"/>
      <c r="I62" s="5"/>
      <c r="J62" s="5"/>
      <c r="K62" s="5"/>
      <c r="L62" s="5"/>
      <c r="M62" s="5"/>
      <c r="N62" s="5"/>
      <c r="O62" s="5"/>
      <c r="P62" s="5"/>
      <c r="Q62" s="5"/>
      <c r="R62" s="5"/>
      <c r="S62" s="5"/>
      <c r="T62" s="5"/>
      <c r="U62" s="5"/>
      <c r="V62" s="5"/>
      <c r="W62" s="5"/>
      <c r="X62" s="5"/>
      <c r="Y62" s="5"/>
      <c r="Z62" s="5"/>
      <c r="AA62" s="5"/>
    </row>
    <row r="63">
      <c r="A63" s="5"/>
      <c r="B63" s="5"/>
      <c r="C63" s="5"/>
      <c r="D63" s="5"/>
      <c r="E63" s="5"/>
      <c r="F63" s="76"/>
      <c r="G63" s="5"/>
      <c r="H63" s="46"/>
      <c r="I63" s="5"/>
      <c r="J63" s="5"/>
      <c r="K63" s="5"/>
      <c r="L63" s="5"/>
      <c r="M63" s="5"/>
      <c r="N63" s="5"/>
      <c r="O63" s="5"/>
      <c r="P63" s="5"/>
      <c r="Q63" s="5"/>
      <c r="R63" s="5"/>
      <c r="S63" s="5"/>
      <c r="T63" s="5"/>
      <c r="U63" s="5"/>
      <c r="V63" s="5"/>
      <c r="W63" s="5"/>
      <c r="X63" s="5"/>
      <c r="Y63" s="5"/>
      <c r="Z63" s="5"/>
      <c r="AA63" s="5"/>
    </row>
    <row r="64">
      <c r="A64" s="5"/>
      <c r="B64" s="5"/>
      <c r="C64" s="5"/>
      <c r="D64" s="5"/>
      <c r="E64" s="5"/>
      <c r="F64" s="76"/>
      <c r="G64" s="5"/>
      <c r="H64" s="46"/>
      <c r="I64" s="5"/>
      <c r="J64" s="5"/>
      <c r="K64" s="5"/>
      <c r="L64" s="5"/>
      <c r="M64" s="5"/>
      <c r="N64" s="5"/>
      <c r="O64" s="5"/>
      <c r="P64" s="5"/>
      <c r="Q64" s="5"/>
      <c r="R64" s="5"/>
      <c r="S64" s="5"/>
      <c r="T64" s="5"/>
      <c r="U64" s="5"/>
      <c r="V64" s="5"/>
      <c r="W64" s="5"/>
      <c r="X64" s="5"/>
      <c r="Y64" s="5"/>
      <c r="Z64" s="5"/>
      <c r="AA64" s="5"/>
    </row>
    <row r="65">
      <c r="A65" s="5"/>
      <c r="B65" s="5"/>
      <c r="C65" s="5"/>
      <c r="D65" s="5"/>
      <c r="E65" s="5"/>
      <c r="F65" s="76"/>
      <c r="G65" s="5"/>
      <c r="H65" s="46"/>
      <c r="I65" s="5"/>
      <c r="J65" s="5"/>
      <c r="K65" s="5"/>
      <c r="L65" s="5"/>
      <c r="M65" s="5"/>
      <c r="N65" s="5"/>
      <c r="O65" s="5"/>
      <c r="P65" s="5"/>
      <c r="Q65" s="5"/>
      <c r="R65" s="5"/>
      <c r="S65" s="5"/>
      <c r="T65" s="5"/>
      <c r="U65" s="5"/>
      <c r="V65" s="5"/>
      <c r="W65" s="5"/>
      <c r="X65" s="5"/>
      <c r="Y65" s="5"/>
      <c r="Z65" s="5"/>
      <c r="AA65" s="5"/>
    </row>
    <row r="66">
      <c r="A66" s="5"/>
      <c r="B66" s="5"/>
      <c r="C66" s="5"/>
      <c r="D66" s="5"/>
      <c r="E66" s="5"/>
      <c r="F66" s="76"/>
      <c r="G66" s="5"/>
      <c r="H66" s="46"/>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46"/>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46"/>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46"/>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46"/>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46"/>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46"/>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46"/>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46"/>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46"/>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46"/>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46"/>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46"/>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46"/>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46"/>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46"/>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46"/>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46"/>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46"/>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46"/>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46"/>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46"/>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46"/>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46"/>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46"/>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46"/>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46"/>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46"/>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46"/>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46"/>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46"/>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46"/>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46"/>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46"/>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46"/>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46"/>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46"/>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46"/>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46"/>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46"/>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46"/>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46"/>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46"/>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46"/>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46"/>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46"/>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46"/>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46"/>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46"/>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46"/>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46"/>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46"/>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46"/>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46"/>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46"/>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46"/>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46"/>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46"/>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46"/>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46"/>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46"/>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46"/>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46"/>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46"/>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46"/>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46"/>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46"/>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46"/>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46"/>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46"/>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46"/>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46"/>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46"/>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46"/>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46"/>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46"/>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46"/>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46"/>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46"/>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46"/>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46"/>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46"/>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46"/>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46"/>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46"/>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46"/>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46"/>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46"/>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46"/>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46"/>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46"/>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46"/>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46"/>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46"/>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46"/>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46"/>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46"/>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46"/>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46"/>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46"/>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46"/>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46"/>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46"/>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46"/>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46"/>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46"/>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46"/>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46"/>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46"/>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46"/>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46"/>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46"/>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46"/>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46"/>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46"/>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46"/>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46"/>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46"/>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46"/>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46"/>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46"/>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46"/>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46"/>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46"/>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46"/>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46"/>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46"/>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46"/>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46"/>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46"/>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46"/>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46"/>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46"/>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46"/>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46"/>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46"/>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46"/>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46"/>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46"/>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46"/>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46"/>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46"/>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46"/>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46"/>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46"/>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46"/>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46"/>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46"/>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46"/>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46"/>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46"/>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46"/>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46"/>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46"/>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46"/>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46"/>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46"/>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46"/>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46"/>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46"/>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46"/>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46"/>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46"/>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46"/>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46"/>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46"/>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46"/>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46"/>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46"/>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46"/>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46"/>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46"/>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46"/>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46"/>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46"/>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46"/>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46"/>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46"/>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46"/>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46"/>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46"/>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46"/>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46"/>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46"/>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46"/>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46"/>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46"/>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46"/>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46"/>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46"/>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46"/>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46"/>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46"/>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46"/>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46"/>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46"/>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46"/>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46"/>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46"/>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46"/>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46"/>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46"/>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46"/>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46"/>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46"/>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46"/>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46"/>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46"/>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46"/>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46"/>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46"/>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46"/>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46"/>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46"/>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46"/>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46"/>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46"/>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46"/>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46"/>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46"/>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46"/>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46"/>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46"/>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46"/>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46"/>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46"/>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46"/>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46"/>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46"/>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46"/>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46"/>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46"/>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46"/>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46"/>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46"/>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46"/>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46"/>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46"/>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46"/>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46"/>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46"/>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46"/>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46"/>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46"/>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46"/>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46"/>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46"/>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46"/>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46"/>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46"/>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46"/>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46"/>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46"/>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46"/>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46"/>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46"/>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46"/>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46"/>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46"/>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46"/>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46"/>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46"/>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46"/>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46"/>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46"/>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46"/>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46"/>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46"/>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46"/>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46"/>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46"/>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46"/>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46"/>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46"/>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46"/>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46"/>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46"/>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46"/>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46"/>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46"/>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46"/>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46"/>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46"/>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46"/>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46"/>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46"/>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46"/>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46"/>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46"/>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46"/>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46"/>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46"/>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46"/>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46"/>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46"/>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46"/>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46"/>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46"/>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46"/>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46"/>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46"/>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46"/>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46"/>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46"/>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46"/>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46"/>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46"/>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46"/>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46"/>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46"/>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46"/>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46"/>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46"/>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46"/>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46"/>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46"/>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46"/>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46"/>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46"/>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46"/>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46"/>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46"/>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46"/>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46"/>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46"/>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46"/>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46"/>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46"/>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46"/>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46"/>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46"/>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46"/>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46"/>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46"/>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46"/>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46"/>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46"/>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46"/>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46"/>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46"/>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46"/>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46"/>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46"/>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46"/>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46"/>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46"/>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46"/>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46"/>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46"/>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46"/>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46"/>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46"/>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46"/>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46"/>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46"/>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46"/>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46"/>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46"/>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46"/>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46"/>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46"/>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46"/>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46"/>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46"/>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46"/>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46"/>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46"/>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46"/>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46"/>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46"/>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46"/>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46"/>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46"/>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46"/>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46"/>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46"/>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46"/>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46"/>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46"/>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46"/>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46"/>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46"/>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46"/>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46"/>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46"/>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46"/>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46"/>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46"/>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46"/>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46"/>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46"/>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46"/>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46"/>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46"/>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46"/>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46"/>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46"/>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46"/>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46"/>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46"/>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46"/>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46"/>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46"/>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46"/>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46"/>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46"/>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46"/>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46"/>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46"/>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46"/>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46"/>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46"/>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46"/>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46"/>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46"/>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46"/>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46"/>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46"/>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46"/>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46"/>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46"/>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46"/>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46"/>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46"/>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46"/>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46"/>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46"/>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46"/>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46"/>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46"/>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46"/>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46"/>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46"/>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46"/>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46"/>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46"/>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46"/>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46"/>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46"/>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46"/>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46"/>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46"/>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46"/>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46"/>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46"/>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46"/>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46"/>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46"/>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46"/>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46"/>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46"/>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46"/>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46"/>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46"/>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46"/>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46"/>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46"/>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46"/>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46"/>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46"/>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46"/>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46"/>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46"/>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46"/>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46"/>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46"/>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46"/>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46"/>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46"/>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46"/>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46"/>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46"/>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46"/>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46"/>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46"/>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46"/>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46"/>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46"/>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46"/>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46"/>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46"/>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46"/>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46"/>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46"/>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46"/>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46"/>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46"/>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46"/>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46"/>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46"/>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46"/>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46"/>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46"/>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46"/>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46"/>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46"/>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46"/>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46"/>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46"/>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46"/>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46"/>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46"/>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46"/>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46"/>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46"/>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46"/>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46"/>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46"/>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46"/>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46"/>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46"/>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46"/>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46"/>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46"/>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46"/>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46"/>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46"/>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46"/>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46"/>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46"/>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46"/>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46"/>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46"/>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46"/>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46"/>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46"/>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46"/>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46"/>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46"/>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46"/>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46"/>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46"/>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46"/>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46"/>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46"/>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46"/>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46"/>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46"/>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46"/>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46"/>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46"/>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46"/>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46"/>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46"/>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46"/>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46"/>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46"/>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46"/>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46"/>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46"/>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46"/>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46"/>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46"/>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46"/>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46"/>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46"/>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46"/>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46"/>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46"/>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46"/>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46"/>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46"/>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46"/>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46"/>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46"/>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46"/>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46"/>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46"/>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46"/>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46"/>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46"/>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46"/>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46"/>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46"/>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46"/>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46"/>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46"/>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46"/>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46"/>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46"/>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46"/>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46"/>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46"/>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46"/>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46"/>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46"/>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46"/>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46"/>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46"/>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46"/>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46"/>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46"/>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46"/>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46"/>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46"/>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46"/>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46"/>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46"/>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46"/>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46"/>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46"/>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46"/>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46"/>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46"/>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46"/>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46"/>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46"/>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46"/>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46"/>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46"/>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46"/>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46"/>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46"/>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46"/>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46"/>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46"/>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46"/>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46"/>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46"/>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46"/>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46"/>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46"/>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46"/>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46"/>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46"/>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46"/>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46"/>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46"/>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46"/>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46"/>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46"/>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46"/>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46"/>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46"/>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46"/>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46"/>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46"/>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46"/>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46"/>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46"/>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46"/>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46"/>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46"/>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46"/>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46"/>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46"/>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46"/>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46"/>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46"/>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46"/>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46"/>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46"/>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46"/>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46"/>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46"/>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46"/>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46"/>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46"/>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46"/>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46"/>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46"/>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46"/>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46"/>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46"/>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46"/>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46"/>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46"/>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46"/>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46"/>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46"/>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46"/>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46"/>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46"/>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46"/>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46"/>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46"/>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46"/>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46"/>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46"/>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46"/>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46"/>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46"/>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46"/>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46"/>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46"/>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46"/>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46"/>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46"/>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46"/>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46"/>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46"/>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46"/>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46"/>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46"/>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46"/>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46"/>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46"/>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46"/>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46"/>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46"/>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46"/>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46"/>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46"/>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46"/>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46"/>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46"/>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46"/>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46"/>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46"/>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46"/>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46"/>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46"/>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46"/>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46"/>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46"/>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46"/>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46"/>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46"/>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46"/>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46"/>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46"/>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46"/>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46"/>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46"/>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46"/>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46"/>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46"/>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46"/>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46"/>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46"/>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46"/>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46"/>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46"/>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46"/>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46"/>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46"/>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46"/>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46"/>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46"/>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46"/>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46"/>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46"/>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46"/>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46"/>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46"/>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46"/>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46"/>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46"/>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46"/>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46"/>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46"/>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46"/>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46"/>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46"/>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46"/>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46"/>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46"/>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46"/>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46"/>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46"/>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46"/>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46"/>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46"/>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46"/>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46"/>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46"/>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46"/>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46"/>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46"/>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46"/>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46"/>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46"/>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46"/>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46"/>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46"/>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46"/>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46"/>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46"/>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46"/>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46"/>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46"/>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46"/>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46"/>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46"/>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46"/>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46"/>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46"/>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46"/>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46"/>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46"/>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46"/>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46"/>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46"/>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46"/>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46"/>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46"/>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46"/>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46"/>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46"/>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46"/>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46"/>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46"/>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46"/>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46"/>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46"/>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46"/>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46"/>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46"/>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46"/>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46"/>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46"/>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46"/>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46"/>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46"/>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46"/>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46"/>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46"/>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46"/>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46"/>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46"/>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46"/>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46"/>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46"/>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46"/>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46"/>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46"/>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46"/>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46"/>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46"/>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46"/>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46"/>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46"/>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46"/>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46"/>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46"/>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46"/>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46"/>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46"/>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46"/>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46"/>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46"/>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46"/>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46"/>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46"/>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46"/>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46"/>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46"/>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46"/>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46"/>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46"/>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46"/>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46"/>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46"/>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46"/>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46"/>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46"/>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46"/>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46"/>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46"/>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46"/>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46"/>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46"/>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46"/>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46"/>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46"/>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46"/>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46"/>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46"/>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46"/>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46"/>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46"/>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46"/>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46"/>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46"/>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46"/>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46"/>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46"/>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46"/>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46"/>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46"/>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46"/>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46"/>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46"/>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46"/>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46"/>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46"/>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46"/>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46"/>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46"/>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46"/>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46"/>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46"/>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46"/>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46"/>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46"/>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46"/>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46"/>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46"/>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46"/>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46"/>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46"/>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46"/>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46"/>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46"/>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46"/>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46"/>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46"/>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46"/>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46"/>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46"/>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46"/>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46"/>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46"/>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46"/>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46"/>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46"/>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46"/>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46"/>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46"/>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46"/>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46"/>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46"/>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46"/>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46"/>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46"/>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46"/>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46"/>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46"/>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46"/>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46"/>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46"/>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46"/>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46"/>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46"/>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46"/>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c r="J1" s="13"/>
      <c r="K1" s="5"/>
      <c r="L1" s="5"/>
      <c r="M1" s="5"/>
      <c r="N1" s="5"/>
      <c r="O1" s="5"/>
      <c r="P1" s="5"/>
      <c r="Q1" s="5"/>
      <c r="R1" s="5"/>
      <c r="S1" s="5"/>
      <c r="T1" s="5"/>
      <c r="U1" s="5"/>
      <c r="V1" s="5"/>
      <c r="W1" s="5"/>
      <c r="X1" s="5"/>
      <c r="Y1" s="5"/>
      <c r="Z1" s="5"/>
      <c r="AA1" s="5"/>
    </row>
    <row r="2">
      <c r="A2" s="7" t="s">
        <v>93</v>
      </c>
      <c r="B2" s="7" t="s">
        <v>108</v>
      </c>
      <c r="C2" s="67">
        <f t="shared" ref="C2:C6" si="1">COUNTIF(I:I,A2)</f>
        <v>1</v>
      </c>
      <c r="D2" s="17">
        <f t="shared" ref="D2:D6" si="2">C2/COUNTA(I$2:I1000)</f>
        <v>0.08333333333</v>
      </c>
      <c r="E2" s="77">
        <v>1.593104923E9</v>
      </c>
      <c r="F2" s="68">
        <f>IFERROR(__xludf.DUMMYFUNCTION("INDEX(SPLIT(E2, char(10)), 0, 1)/86400+date(1970,1,1)"),44007.71438657407)</f>
        <v>44007.71439</v>
      </c>
      <c r="G2" s="46" t="s">
        <v>945</v>
      </c>
      <c r="H2" s="46" t="s">
        <v>946</v>
      </c>
      <c r="I2" s="46" t="s">
        <v>13</v>
      </c>
      <c r="J2" s="5"/>
      <c r="K2" s="5"/>
      <c r="L2" s="5"/>
      <c r="M2" s="5"/>
      <c r="N2" s="5"/>
      <c r="O2" s="5"/>
      <c r="P2" s="5"/>
      <c r="Q2" s="5"/>
      <c r="R2" s="5"/>
      <c r="S2" s="5"/>
      <c r="T2" s="5"/>
      <c r="U2" s="5"/>
      <c r="V2" s="5"/>
      <c r="W2" s="5"/>
      <c r="X2" s="5"/>
      <c r="Y2" s="5"/>
      <c r="Z2" s="5"/>
      <c r="AA2" s="5"/>
    </row>
    <row r="3">
      <c r="A3" s="7" t="s">
        <v>11</v>
      </c>
      <c r="B3" s="7" t="s">
        <v>111</v>
      </c>
      <c r="C3" s="67">
        <f t="shared" si="1"/>
        <v>0</v>
      </c>
      <c r="D3" s="17">
        <f t="shared" si="2"/>
        <v>0</v>
      </c>
      <c r="E3" s="77">
        <v>1.593105219E9</v>
      </c>
      <c r="F3" s="68">
        <f>IFERROR(__xludf.DUMMYFUNCTION("INDEX(SPLIT(E3, char(10)), 0, 1)/86400+date(1970,1,1)"),44007.7178125)</f>
        <v>44007.71781</v>
      </c>
      <c r="G3" s="46" t="s">
        <v>947</v>
      </c>
      <c r="H3" s="46" t="s">
        <v>948</v>
      </c>
      <c r="I3" s="46" t="s">
        <v>12</v>
      </c>
      <c r="J3" s="5"/>
      <c r="K3" s="5"/>
      <c r="L3" s="5"/>
      <c r="M3" s="5"/>
      <c r="N3" s="5"/>
      <c r="O3" s="5"/>
      <c r="P3" s="5"/>
      <c r="Q3" s="5"/>
      <c r="R3" s="5"/>
      <c r="S3" s="5"/>
      <c r="T3" s="5"/>
      <c r="U3" s="5"/>
      <c r="V3" s="5"/>
      <c r="W3" s="5"/>
      <c r="X3" s="5"/>
      <c r="Y3" s="5"/>
      <c r="Z3" s="5"/>
      <c r="AA3" s="5"/>
    </row>
    <row r="4">
      <c r="A4" s="7" t="s">
        <v>12</v>
      </c>
      <c r="B4" s="7" t="s">
        <v>114</v>
      </c>
      <c r="C4" s="67">
        <f t="shared" si="1"/>
        <v>1</v>
      </c>
      <c r="D4" s="17">
        <f t="shared" si="2"/>
        <v>0.08333333333</v>
      </c>
      <c r="E4" s="77">
        <v>1.59310535E9</v>
      </c>
      <c r="F4" s="68">
        <f>IFERROR(__xludf.DUMMYFUNCTION("INDEX(SPLIT(E4, char(10)), 0, 1)/86400+date(1970,1,1)"),44007.71932870371)</f>
        <v>44007.71933</v>
      </c>
      <c r="G4" s="46" t="s">
        <v>940</v>
      </c>
      <c r="H4" s="46" t="s">
        <v>949</v>
      </c>
      <c r="I4" s="46" t="s">
        <v>14</v>
      </c>
      <c r="J4" s="5"/>
      <c r="K4" s="5"/>
      <c r="L4" s="5"/>
      <c r="M4" s="5"/>
      <c r="N4" s="5"/>
      <c r="O4" s="5"/>
      <c r="P4" s="5"/>
      <c r="Q4" s="5"/>
      <c r="R4" s="5"/>
      <c r="S4" s="5"/>
      <c r="T4" s="5"/>
      <c r="U4" s="5"/>
      <c r="V4" s="5"/>
      <c r="W4" s="5"/>
      <c r="X4" s="5"/>
      <c r="Y4" s="5"/>
      <c r="Z4" s="5"/>
      <c r="AA4" s="5"/>
    </row>
    <row r="5">
      <c r="A5" s="7" t="s">
        <v>13</v>
      </c>
      <c r="B5" s="7" t="s">
        <v>117</v>
      </c>
      <c r="C5" s="67">
        <f t="shared" si="1"/>
        <v>6</v>
      </c>
      <c r="D5" s="17">
        <f t="shared" si="2"/>
        <v>0.5</v>
      </c>
      <c r="E5" s="77">
        <v>1.593105664E9</v>
      </c>
      <c r="F5" s="68">
        <f>IFERROR(__xludf.DUMMYFUNCTION("INDEX(SPLIT(E5, char(10)), 0, 1)/86400+date(1970,1,1)"),44007.72296296296)</f>
        <v>44007.72296</v>
      </c>
      <c r="G5" s="46" t="s">
        <v>950</v>
      </c>
      <c r="H5" s="46" t="s">
        <v>951</v>
      </c>
      <c r="I5" s="46" t="s">
        <v>13</v>
      </c>
      <c r="J5" s="5"/>
      <c r="K5" s="5"/>
      <c r="L5" s="5"/>
      <c r="M5" s="5"/>
      <c r="N5" s="5"/>
      <c r="O5" s="5"/>
      <c r="P5" s="5"/>
      <c r="Q5" s="5"/>
      <c r="R5" s="5"/>
      <c r="S5" s="5"/>
      <c r="T5" s="5"/>
      <c r="U5" s="5"/>
      <c r="V5" s="5"/>
      <c r="W5" s="5"/>
      <c r="X5" s="5"/>
      <c r="Y5" s="5"/>
      <c r="Z5" s="5"/>
      <c r="AA5" s="5"/>
    </row>
    <row r="6">
      <c r="A6" s="7" t="s">
        <v>14</v>
      </c>
      <c r="B6" s="7" t="s">
        <v>120</v>
      </c>
      <c r="C6" s="67">
        <f t="shared" si="1"/>
        <v>4</v>
      </c>
      <c r="D6" s="17">
        <f t="shared" si="2"/>
        <v>0.3333333333</v>
      </c>
      <c r="E6" s="77">
        <v>1.593105785E9</v>
      </c>
      <c r="F6" s="68">
        <f>IFERROR(__xludf.DUMMYFUNCTION("INDEX(SPLIT(E6, char(10)), 0, 1)/86400+date(1970,1,1)"),44007.72436342592)</f>
        <v>44007.72436</v>
      </c>
      <c r="G6" s="46" t="s">
        <v>952</v>
      </c>
      <c r="H6" s="46" t="s">
        <v>953</v>
      </c>
      <c r="I6" s="46" t="s">
        <v>93</v>
      </c>
      <c r="J6" s="5"/>
      <c r="K6" s="5"/>
      <c r="L6" s="5"/>
      <c r="M6" s="5"/>
      <c r="N6" s="5"/>
      <c r="O6" s="5"/>
      <c r="P6" s="5"/>
      <c r="Q6" s="5"/>
      <c r="R6" s="5"/>
      <c r="S6" s="5"/>
      <c r="T6" s="5"/>
      <c r="U6" s="5"/>
      <c r="V6" s="5"/>
      <c r="W6" s="5"/>
      <c r="X6" s="5"/>
      <c r="Y6" s="5"/>
      <c r="Z6" s="5"/>
      <c r="AA6" s="5"/>
    </row>
    <row r="7">
      <c r="A7" s="5"/>
      <c r="B7" s="7" t="s">
        <v>10</v>
      </c>
      <c r="C7" s="23">
        <f t="shared" ref="C7:D7" si="3">SUM(C2:C6)</f>
        <v>12</v>
      </c>
      <c r="D7" s="70">
        <f t="shared" si="3"/>
        <v>1</v>
      </c>
      <c r="E7" s="77">
        <v>1.593107365E9</v>
      </c>
      <c r="F7" s="68">
        <f>IFERROR(__xludf.DUMMYFUNCTION("INDEX(SPLIT(E7, char(10)), 0, 1)/86400+date(1970,1,1)"),44007.74265046296)</f>
        <v>44007.74265</v>
      </c>
      <c r="G7" s="46" t="s">
        <v>562</v>
      </c>
      <c r="H7" s="46" t="s">
        <v>954</v>
      </c>
      <c r="I7" s="46" t="s">
        <v>13</v>
      </c>
      <c r="J7" s="5"/>
      <c r="K7" s="5"/>
      <c r="L7" s="5"/>
      <c r="M7" s="5"/>
      <c r="N7" s="5"/>
      <c r="O7" s="5"/>
      <c r="P7" s="5"/>
      <c r="Q7" s="5"/>
      <c r="R7" s="5"/>
      <c r="S7" s="5"/>
      <c r="T7" s="5"/>
      <c r="U7" s="5"/>
      <c r="V7" s="5"/>
      <c r="W7" s="5"/>
      <c r="X7" s="5"/>
      <c r="Y7" s="5"/>
      <c r="Z7" s="5"/>
      <c r="AA7" s="5"/>
    </row>
    <row r="8">
      <c r="A8" s="71"/>
      <c r="B8" s="7" t="s">
        <v>15</v>
      </c>
      <c r="C8" s="67">
        <f t="shared" ref="C8:D8" si="4">SUM(C5:C6)</f>
        <v>10</v>
      </c>
      <c r="D8" s="17">
        <f t="shared" si="4"/>
        <v>0.8333333333</v>
      </c>
      <c r="E8" s="77">
        <v>1.593108454E9</v>
      </c>
      <c r="F8" s="68">
        <f>IFERROR(__xludf.DUMMYFUNCTION("INDEX(SPLIT(E8, char(10)), 0, 1)/86400+date(1970,1,1)"),44007.75525462963)</f>
        <v>44007.75525</v>
      </c>
      <c r="G8" s="46" t="s">
        <v>955</v>
      </c>
      <c r="H8" s="46" t="s">
        <v>956</v>
      </c>
      <c r="I8" s="46" t="s">
        <v>14</v>
      </c>
      <c r="J8" s="5"/>
      <c r="K8" s="5"/>
      <c r="L8" s="5"/>
      <c r="M8" s="5"/>
      <c r="N8" s="5"/>
      <c r="O8" s="5"/>
      <c r="P8" s="5"/>
      <c r="Q8" s="5"/>
      <c r="R8" s="5"/>
      <c r="S8" s="5"/>
      <c r="T8" s="5"/>
      <c r="U8" s="5"/>
      <c r="V8" s="5"/>
      <c r="W8" s="5"/>
      <c r="X8" s="5"/>
      <c r="Y8" s="5"/>
      <c r="Z8" s="5"/>
      <c r="AA8" s="5"/>
    </row>
    <row r="9">
      <c r="A9" s="71"/>
      <c r="B9" s="7" t="s">
        <v>127</v>
      </c>
      <c r="C9" s="67">
        <f>SUM(C6:C7)</f>
        <v>16</v>
      </c>
      <c r="D9" s="17">
        <f>SUM(D5:D6) + D2</f>
        <v>0.9166666667</v>
      </c>
      <c r="E9" s="77">
        <v>1.593109344E9</v>
      </c>
      <c r="F9" s="68">
        <f>IFERROR(__xludf.DUMMYFUNCTION("INDEX(SPLIT(E9, char(10)), 0, 1)/86400+date(1970,1,1)"),44007.765555555554)</f>
        <v>44007.76556</v>
      </c>
      <c r="G9" s="46" t="s">
        <v>904</v>
      </c>
      <c r="H9" s="46" t="s">
        <v>957</v>
      </c>
      <c r="I9" s="46" t="s">
        <v>13</v>
      </c>
      <c r="J9" s="5"/>
      <c r="K9" s="5"/>
      <c r="L9" s="5"/>
      <c r="M9" s="5"/>
      <c r="N9" s="5"/>
      <c r="O9" s="5"/>
      <c r="P9" s="5"/>
      <c r="Q9" s="5"/>
      <c r="R9" s="5"/>
      <c r="S9" s="5"/>
      <c r="T9" s="5"/>
      <c r="U9" s="5"/>
      <c r="V9" s="5"/>
      <c r="W9" s="5"/>
      <c r="X9" s="5"/>
      <c r="Y9" s="5"/>
      <c r="Z9" s="5"/>
      <c r="AA9" s="5"/>
    </row>
    <row r="10">
      <c r="A10" s="71"/>
      <c r="B10" s="71"/>
      <c r="C10" s="71"/>
      <c r="D10" s="71"/>
      <c r="E10" s="77">
        <v>1.593110401E9</v>
      </c>
      <c r="F10" s="68">
        <f>IFERROR(__xludf.DUMMYFUNCTION("INDEX(SPLIT(E10, char(10)), 0, 1)/86400+date(1970,1,1)"),44007.77778935185)</f>
        <v>44007.77779</v>
      </c>
      <c r="G10" s="46" t="s">
        <v>958</v>
      </c>
      <c r="H10" s="46" t="s">
        <v>959</v>
      </c>
      <c r="I10" s="46" t="s">
        <v>13</v>
      </c>
      <c r="J10" s="5"/>
      <c r="K10" s="5"/>
      <c r="L10" s="5"/>
      <c r="M10" s="5"/>
      <c r="N10" s="5"/>
      <c r="O10" s="5"/>
      <c r="P10" s="5"/>
      <c r="Q10" s="5"/>
      <c r="R10" s="5"/>
      <c r="S10" s="5"/>
      <c r="T10" s="5"/>
      <c r="U10" s="5"/>
      <c r="V10" s="5"/>
      <c r="W10" s="5"/>
      <c r="X10" s="5"/>
      <c r="Y10" s="5"/>
      <c r="Z10" s="5"/>
      <c r="AA10" s="5"/>
    </row>
    <row r="11">
      <c r="A11" s="71"/>
      <c r="B11" s="71"/>
      <c r="C11" s="71"/>
      <c r="D11" s="71"/>
      <c r="E11" s="77">
        <v>1.593110759E9</v>
      </c>
      <c r="F11" s="68">
        <f>IFERROR(__xludf.DUMMYFUNCTION("INDEX(SPLIT(E11, char(10)), 0, 1)/86400+date(1970,1,1)"),44007.78193287037)</f>
        <v>44007.78193</v>
      </c>
      <c r="G11" s="46" t="s">
        <v>960</v>
      </c>
      <c r="H11" s="46" t="s">
        <v>961</v>
      </c>
      <c r="I11" s="46" t="s">
        <v>13</v>
      </c>
      <c r="J11" s="5"/>
      <c r="K11" s="5"/>
      <c r="L11" s="5"/>
      <c r="M11" s="5"/>
      <c r="N11" s="5"/>
      <c r="O11" s="5"/>
      <c r="P11" s="5"/>
      <c r="Q11" s="5"/>
      <c r="R11" s="5"/>
      <c r="S11" s="5"/>
      <c r="T11" s="5"/>
      <c r="U11" s="5"/>
      <c r="V11" s="5"/>
      <c r="W11" s="5"/>
      <c r="X11" s="5"/>
      <c r="Y11" s="5"/>
      <c r="Z11" s="5"/>
      <c r="AA11" s="5"/>
    </row>
    <row r="12">
      <c r="A12" s="1" t="s">
        <v>134</v>
      </c>
      <c r="B12" s="72" t="s">
        <v>962</v>
      </c>
      <c r="C12" s="71"/>
      <c r="D12" s="71"/>
      <c r="E12" s="77">
        <v>1.593110968E9</v>
      </c>
      <c r="F12" s="68">
        <f>IFERROR(__xludf.DUMMYFUNCTION("INDEX(SPLIT(E12, char(10)), 0, 1)/86400+date(1970,1,1)"),44007.78435185185)</f>
        <v>44007.78435</v>
      </c>
      <c r="G12" s="46" t="s">
        <v>963</v>
      </c>
      <c r="H12" s="46" t="s">
        <v>964</v>
      </c>
      <c r="I12" s="46" t="s">
        <v>14</v>
      </c>
      <c r="J12" s="5"/>
      <c r="K12" s="5"/>
      <c r="L12" s="5"/>
      <c r="M12" s="5"/>
      <c r="N12" s="5"/>
      <c r="O12" s="5"/>
      <c r="P12" s="5"/>
      <c r="Q12" s="5"/>
      <c r="R12" s="5"/>
      <c r="S12" s="5"/>
      <c r="T12" s="5"/>
      <c r="U12" s="5"/>
      <c r="V12" s="5"/>
      <c r="W12" s="5"/>
      <c r="X12" s="5"/>
      <c r="Y12" s="5"/>
      <c r="Z12" s="5"/>
      <c r="AA12" s="5"/>
    </row>
    <row r="13">
      <c r="A13" s="1" t="s">
        <v>138</v>
      </c>
      <c r="B13" s="71"/>
      <c r="C13" s="1" t="s">
        <v>101</v>
      </c>
      <c r="D13" s="1" t="s">
        <v>102</v>
      </c>
      <c r="E13" s="77">
        <v>1.593111456E9</v>
      </c>
      <c r="F13" s="68">
        <f>IFERROR(__xludf.DUMMYFUNCTION("INDEX(SPLIT(E13, char(10)), 0, 1)/86400+date(1970,1,1)"),44007.79)</f>
        <v>44007.79</v>
      </c>
      <c r="G13" s="46" t="s">
        <v>965</v>
      </c>
      <c r="H13" s="46" t="s">
        <v>966</v>
      </c>
      <c r="I13" s="46" t="s">
        <v>14</v>
      </c>
      <c r="J13" s="5"/>
      <c r="K13" s="5"/>
      <c r="L13" s="5"/>
      <c r="M13" s="5"/>
      <c r="N13" s="5"/>
      <c r="O13" s="5"/>
      <c r="P13" s="5"/>
      <c r="Q13" s="5"/>
      <c r="R13" s="5"/>
      <c r="S13" s="5"/>
      <c r="T13" s="5"/>
      <c r="U13" s="5"/>
      <c r="V13" s="5"/>
      <c r="W13" s="5"/>
      <c r="X13" s="5"/>
      <c r="Y13" s="5"/>
      <c r="Z13" s="5"/>
      <c r="AA13" s="5"/>
    </row>
    <row r="14">
      <c r="A14" s="7" t="s">
        <v>141</v>
      </c>
      <c r="B14" s="7" t="s">
        <v>142</v>
      </c>
      <c r="C14" s="23">
        <f t="shared" ref="C14:C17" si="5">COUNTIF($A$19:$A1000, A14)</f>
        <v>3</v>
      </c>
      <c r="D14" s="17">
        <f>IFERROR(__xludf.DUMMYFUNCTION("IF(C14, COUNTIF(FILTER($D$19:$D1000, $A$19:$A1000=A14), TRUE)/C14, 0)"),1.0)</f>
        <v>1</v>
      </c>
      <c r="E14" s="67"/>
      <c r="F14" s="68"/>
      <c r="G14" s="7"/>
      <c r="H14" s="46"/>
      <c r="I14" s="7"/>
      <c r="J14" s="5"/>
      <c r="K14" s="5"/>
      <c r="L14" s="5"/>
      <c r="M14" s="5"/>
      <c r="N14" s="5"/>
      <c r="O14" s="5"/>
      <c r="P14" s="5"/>
      <c r="Q14" s="5"/>
      <c r="R14" s="5"/>
      <c r="S14" s="5"/>
      <c r="T14" s="5"/>
      <c r="U14" s="5"/>
      <c r="V14" s="5"/>
      <c r="W14" s="5"/>
      <c r="X14" s="5"/>
      <c r="Y14" s="5"/>
      <c r="Z14" s="5"/>
      <c r="AA14" s="5"/>
    </row>
    <row r="15">
      <c r="A15" s="7" t="s">
        <v>3</v>
      </c>
      <c r="B15" s="7" t="s">
        <v>145</v>
      </c>
      <c r="C15" s="23">
        <f t="shared" si="5"/>
        <v>3</v>
      </c>
      <c r="D15" s="17">
        <f>IFERROR(__xludf.DUMMYFUNCTION("IF(C15, COUNTIF(FILTER($D$19:$D1000, $A$19:$A1000=A15), TRUE)/C15, 0)"),0.0)</f>
        <v>0</v>
      </c>
      <c r="E15" s="67"/>
      <c r="F15" s="68"/>
      <c r="G15" s="7"/>
      <c r="H15" s="46"/>
      <c r="I15" s="7"/>
      <c r="J15" s="5"/>
      <c r="K15" s="5"/>
      <c r="L15" s="5"/>
      <c r="M15" s="5"/>
      <c r="N15" s="5"/>
      <c r="O15" s="5"/>
      <c r="P15" s="5"/>
      <c r="Q15" s="5"/>
      <c r="R15" s="5"/>
      <c r="S15" s="5"/>
      <c r="T15" s="5"/>
      <c r="U15" s="5"/>
      <c r="V15" s="5"/>
      <c r="W15" s="5"/>
      <c r="X15" s="5"/>
      <c r="Y15" s="5"/>
      <c r="Z15" s="5"/>
      <c r="AA15" s="5"/>
    </row>
    <row r="16">
      <c r="A16" s="7" t="s">
        <v>4</v>
      </c>
      <c r="B16" s="7" t="s">
        <v>148</v>
      </c>
      <c r="C16" s="23">
        <f t="shared" si="5"/>
        <v>4</v>
      </c>
      <c r="D16" s="17">
        <f>IFERROR(__xludf.DUMMYFUNCTION("IF(C16, COUNTIF(FILTER($D$19:$D1000, $A$19:$A1000=A16), TRUE)/C16, 0)"),0.25)</f>
        <v>0.25</v>
      </c>
      <c r="E16" s="67"/>
      <c r="F16" s="68"/>
      <c r="G16" s="7"/>
      <c r="H16" s="46"/>
      <c r="I16" s="7"/>
      <c r="J16" s="5"/>
      <c r="K16" s="5"/>
      <c r="L16" s="5"/>
      <c r="M16" s="5"/>
      <c r="N16" s="5"/>
      <c r="O16" s="5"/>
      <c r="P16" s="5"/>
      <c r="Q16" s="5"/>
      <c r="R16" s="5"/>
      <c r="S16" s="5"/>
      <c r="T16" s="5"/>
      <c r="U16" s="5"/>
      <c r="V16" s="5"/>
      <c r="W16" s="5"/>
      <c r="X16" s="5"/>
      <c r="Y16" s="5"/>
      <c r="Z16" s="5"/>
      <c r="AA16" s="5"/>
    </row>
    <row r="17">
      <c r="A17" s="7" t="s">
        <v>5</v>
      </c>
      <c r="B17" s="7" t="s">
        <v>151</v>
      </c>
      <c r="C17" s="23">
        <f t="shared" si="5"/>
        <v>8</v>
      </c>
      <c r="D17" s="17">
        <f>IFERROR(__xludf.DUMMYFUNCTION("IF(C17, COUNTIF(FILTER($D$19:$D1000, $A$19:$A1000=A17), TRUE)/C17, 0)"),0.375)</f>
        <v>0.375</v>
      </c>
      <c r="E17" s="67"/>
      <c r="F17" s="68"/>
      <c r="G17" s="7"/>
      <c r="H17" s="46"/>
      <c r="I17" s="7"/>
      <c r="J17" s="5"/>
      <c r="K17" s="5"/>
      <c r="L17" s="5"/>
      <c r="M17" s="5"/>
      <c r="N17" s="5"/>
      <c r="O17" s="5"/>
      <c r="P17" s="5"/>
      <c r="Q17" s="5"/>
      <c r="R17" s="5"/>
      <c r="S17" s="5"/>
      <c r="T17" s="5"/>
      <c r="U17" s="5"/>
      <c r="V17" s="5"/>
      <c r="W17" s="5"/>
      <c r="X17" s="5"/>
      <c r="Y17" s="5"/>
      <c r="Z17" s="5"/>
      <c r="AA17" s="5"/>
    </row>
    <row r="18">
      <c r="A18" s="71"/>
      <c r="B18" s="1" t="s">
        <v>6</v>
      </c>
      <c r="C18" s="23">
        <f>SUM(C14:C17)</f>
        <v>18</v>
      </c>
      <c r="D18" s="17">
        <f>COUNTIF($D$19:$D1000, TRUE)/SUM($C$14:$C$17)</f>
        <v>0.3888888889</v>
      </c>
      <c r="E18" s="67"/>
      <c r="F18" s="68"/>
      <c r="G18" s="7"/>
      <c r="H18" s="46"/>
      <c r="I18" s="7"/>
      <c r="J18" s="5"/>
      <c r="K18" s="5"/>
      <c r="L18" s="5"/>
      <c r="M18" s="5"/>
      <c r="N18" s="5"/>
      <c r="O18" s="5"/>
      <c r="P18" s="5"/>
      <c r="Q18" s="5"/>
      <c r="R18" s="5"/>
      <c r="S18" s="5"/>
      <c r="T18" s="5"/>
      <c r="U18" s="5"/>
      <c r="V18" s="5"/>
      <c r="W18" s="5"/>
      <c r="X18" s="5"/>
      <c r="Y18" s="5"/>
      <c r="Z18" s="5"/>
      <c r="AA18" s="5"/>
    </row>
    <row r="19">
      <c r="A19" s="7" t="s">
        <v>4</v>
      </c>
      <c r="B19" s="7" t="s">
        <v>161</v>
      </c>
      <c r="C19" s="67">
        <v>1.0</v>
      </c>
      <c r="D19" s="79" t="b">
        <v>0</v>
      </c>
      <c r="E19" s="67"/>
      <c r="F19" s="68"/>
      <c r="G19" s="7"/>
      <c r="H19" s="46"/>
      <c r="I19" s="7"/>
      <c r="J19" s="5"/>
      <c r="K19" s="5"/>
      <c r="L19" s="5"/>
      <c r="M19" s="5"/>
      <c r="N19" s="5"/>
      <c r="O19" s="5"/>
      <c r="P19" s="5"/>
      <c r="Q19" s="5"/>
      <c r="R19" s="5"/>
      <c r="S19" s="5"/>
      <c r="T19" s="5"/>
      <c r="U19" s="5"/>
      <c r="V19" s="5"/>
      <c r="W19" s="5"/>
      <c r="X19" s="5"/>
      <c r="Y19" s="5"/>
      <c r="Z19" s="5"/>
      <c r="AA19" s="5"/>
    </row>
    <row r="20">
      <c r="A20" s="7" t="s">
        <v>141</v>
      </c>
      <c r="B20" s="7" t="s">
        <v>893</v>
      </c>
      <c r="C20" s="67">
        <v>8.0</v>
      </c>
      <c r="D20" s="79" t="b">
        <v>1</v>
      </c>
      <c r="E20" s="67"/>
      <c r="F20" s="68"/>
      <c r="G20" s="7"/>
      <c r="H20" s="46"/>
      <c r="I20" s="7"/>
      <c r="J20" s="5"/>
      <c r="K20" s="5"/>
      <c r="L20" s="5"/>
      <c r="M20" s="5"/>
      <c r="N20" s="5"/>
      <c r="O20" s="5"/>
      <c r="P20" s="5"/>
      <c r="Q20" s="5"/>
      <c r="R20" s="5"/>
      <c r="S20" s="5"/>
      <c r="T20" s="5"/>
      <c r="U20" s="5"/>
      <c r="V20" s="5"/>
      <c r="W20" s="5"/>
      <c r="X20" s="5"/>
      <c r="Y20" s="5"/>
      <c r="Z20" s="5"/>
      <c r="AA20" s="5"/>
    </row>
    <row r="21">
      <c r="A21" s="7" t="s">
        <v>3</v>
      </c>
      <c r="B21" s="7" t="s">
        <v>896</v>
      </c>
      <c r="C21" s="67">
        <v>11.0</v>
      </c>
      <c r="D21" s="79" t="b">
        <v>0</v>
      </c>
      <c r="E21" s="67"/>
      <c r="F21" s="68"/>
      <c r="G21" s="7"/>
      <c r="H21" s="46"/>
      <c r="I21" s="7"/>
      <c r="J21" s="5"/>
      <c r="K21" s="5"/>
      <c r="L21" s="5"/>
      <c r="M21" s="5"/>
      <c r="N21" s="5"/>
      <c r="O21" s="5"/>
      <c r="P21" s="5"/>
      <c r="Q21" s="5"/>
      <c r="R21" s="5"/>
      <c r="S21" s="5"/>
      <c r="T21" s="5"/>
      <c r="U21" s="5"/>
      <c r="V21" s="5"/>
      <c r="W21" s="5"/>
      <c r="X21" s="5"/>
      <c r="Y21" s="5"/>
      <c r="Z21" s="5"/>
      <c r="AA21" s="5"/>
    </row>
    <row r="22">
      <c r="A22" s="7" t="s">
        <v>141</v>
      </c>
      <c r="B22" s="7" t="s">
        <v>899</v>
      </c>
      <c r="C22" s="67">
        <v>20.0</v>
      </c>
      <c r="D22" s="79" t="b">
        <v>1</v>
      </c>
      <c r="E22" s="67"/>
      <c r="F22" s="68"/>
      <c r="G22" s="7"/>
      <c r="H22" s="46"/>
      <c r="I22" s="7"/>
      <c r="J22" s="5"/>
      <c r="K22" s="5"/>
      <c r="L22" s="5"/>
      <c r="M22" s="5"/>
      <c r="N22" s="5"/>
      <c r="O22" s="5"/>
      <c r="P22" s="5"/>
      <c r="Q22" s="5"/>
      <c r="R22" s="5"/>
      <c r="S22" s="5"/>
      <c r="T22" s="5"/>
      <c r="U22" s="5"/>
      <c r="V22" s="5"/>
      <c r="W22" s="5"/>
      <c r="X22" s="5"/>
      <c r="Y22" s="5"/>
      <c r="Z22" s="5"/>
      <c r="AA22" s="5"/>
    </row>
    <row r="23">
      <c r="A23" s="7" t="s">
        <v>4</v>
      </c>
      <c r="B23" s="7" t="s">
        <v>167</v>
      </c>
      <c r="C23" s="67">
        <v>45.0</v>
      </c>
      <c r="D23" s="79" t="b">
        <v>1</v>
      </c>
      <c r="E23" s="67"/>
      <c r="F23" s="68"/>
      <c r="G23" s="7"/>
      <c r="H23" s="46"/>
      <c r="I23" s="7"/>
      <c r="J23" s="5"/>
      <c r="K23" s="5"/>
      <c r="L23" s="5"/>
      <c r="M23" s="5"/>
      <c r="N23" s="5"/>
      <c r="O23" s="5"/>
      <c r="P23" s="5"/>
      <c r="Q23" s="5"/>
      <c r="R23" s="5"/>
      <c r="S23" s="5"/>
      <c r="T23" s="5"/>
      <c r="U23" s="5"/>
      <c r="V23" s="5"/>
      <c r="W23" s="5"/>
      <c r="X23" s="5"/>
      <c r="Y23" s="5"/>
      <c r="Z23" s="5"/>
      <c r="AA23" s="5"/>
    </row>
    <row r="24">
      <c r="A24" s="7" t="s">
        <v>4</v>
      </c>
      <c r="B24" s="7" t="s">
        <v>170</v>
      </c>
      <c r="C24" s="67">
        <v>45.0</v>
      </c>
      <c r="D24" s="79" t="b">
        <v>0</v>
      </c>
      <c r="E24" s="67"/>
      <c r="F24" s="68"/>
      <c r="G24" s="7"/>
      <c r="H24" s="46"/>
      <c r="I24" s="7"/>
      <c r="J24" s="5"/>
      <c r="K24" s="5"/>
      <c r="L24" s="5"/>
      <c r="M24" s="5"/>
      <c r="N24" s="5"/>
      <c r="O24" s="5"/>
      <c r="P24" s="5"/>
      <c r="Q24" s="5"/>
      <c r="R24" s="5"/>
      <c r="S24" s="5"/>
      <c r="T24" s="5"/>
      <c r="U24" s="5"/>
      <c r="V24" s="5"/>
      <c r="W24" s="5"/>
      <c r="X24" s="5"/>
      <c r="Y24" s="5"/>
      <c r="Z24" s="5"/>
      <c r="AA24" s="5"/>
    </row>
    <row r="25">
      <c r="A25" s="7" t="s">
        <v>5</v>
      </c>
      <c r="B25" s="71" t="s">
        <v>906</v>
      </c>
      <c r="C25" s="67">
        <v>46.0</v>
      </c>
      <c r="D25" s="79" t="b">
        <v>0</v>
      </c>
      <c r="E25" s="67"/>
      <c r="F25" s="68"/>
      <c r="G25" s="7"/>
      <c r="H25" s="46"/>
      <c r="I25" s="7"/>
      <c r="J25" s="5"/>
      <c r="K25" s="5"/>
      <c r="L25" s="5"/>
      <c r="M25" s="5"/>
      <c r="N25" s="5"/>
      <c r="O25" s="5"/>
      <c r="P25" s="5"/>
      <c r="Q25" s="5"/>
      <c r="R25" s="5"/>
      <c r="S25" s="5"/>
      <c r="T25" s="5"/>
      <c r="U25" s="5"/>
      <c r="V25" s="5"/>
      <c r="W25" s="5"/>
      <c r="X25" s="5"/>
      <c r="Y25" s="5"/>
      <c r="Z25" s="5"/>
      <c r="AA25" s="5"/>
    </row>
    <row r="26">
      <c r="A26" s="7" t="s">
        <v>5</v>
      </c>
      <c r="B26" s="71" t="s">
        <v>908</v>
      </c>
      <c r="C26" s="67">
        <v>46.0</v>
      </c>
      <c r="D26" s="79" t="b">
        <v>0</v>
      </c>
      <c r="E26" s="67"/>
      <c r="F26" s="68"/>
      <c r="G26" s="7"/>
      <c r="H26" s="46"/>
      <c r="I26" s="7"/>
      <c r="J26" s="5"/>
      <c r="K26" s="5"/>
      <c r="L26" s="5"/>
      <c r="M26" s="5"/>
      <c r="N26" s="5"/>
      <c r="O26" s="5"/>
      <c r="P26" s="5"/>
      <c r="Q26" s="5"/>
      <c r="R26" s="5"/>
      <c r="S26" s="5"/>
      <c r="T26" s="5"/>
      <c r="U26" s="5"/>
      <c r="V26" s="5"/>
      <c r="W26" s="5"/>
      <c r="X26" s="5"/>
      <c r="Y26" s="5"/>
      <c r="Z26" s="5"/>
      <c r="AA26" s="5"/>
    </row>
    <row r="27">
      <c r="A27" s="7" t="s">
        <v>3</v>
      </c>
      <c r="B27" s="71" t="s">
        <v>911</v>
      </c>
      <c r="C27" s="67">
        <v>47.0</v>
      </c>
      <c r="D27" s="79" t="b">
        <v>0</v>
      </c>
      <c r="E27" s="67"/>
      <c r="F27" s="68"/>
      <c r="G27" s="7"/>
      <c r="H27" s="46"/>
      <c r="I27" s="7"/>
      <c r="J27" s="5"/>
      <c r="K27" s="5"/>
      <c r="L27" s="5"/>
      <c r="M27" s="5"/>
      <c r="N27" s="5"/>
      <c r="O27" s="5"/>
      <c r="P27" s="5"/>
      <c r="Q27" s="5"/>
      <c r="R27" s="5"/>
      <c r="S27" s="5"/>
      <c r="T27" s="5"/>
      <c r="U27" s="5"/>
      <c r="V27" s="5"/>
      <c r="W27" s="5"/>
      <c r="X27" s="5"/>
      <c r="Y27" s="5"/>
      <c r="Z27" s="5"/>
      <c r="AA27" s="5"/>
    </row>
    <row r="28">
      <c r="A28" s="7" t="s">
        <v>5</v>
      </c>
      <c r="B28" s="71" t="s">
        <v>914</v>
      </c>
      <c r="C28" s="67">
        <v>64.0</v>
      </c>
      <c r="D28" s="79" t="b">
        <v>1</v>
      </c>
      <c r="E28" s="67"/>
      <c r="F28" s="68"/>
      <c r="G28" s="7"/>
      <c r="H28" s="46"/>
      <c r="I28" s="7"/>
      <c r="J28" s="5"/>
      <c r="K28" s="5"/>
      <c r="L28" s="5"/>
      <c r="M28" s="5"/>
      <c r="N28" s="5"/>
      <c r="O28" s="5"/>
      <c r="P28" s="5"/>
      <c r="Q28" s="5"/>
      <c r="R28" s="5"/>
      <c r="S28" s="5"/>
      <c r="T28" s="5"/>
      <c r="U28" s="5"/>
      <c r="V28" s="5"/>
      <c r="W28" s="5"/>
      <c r="X28" s="5"/>
      <c r="Y28" s="5"/>
      <c r="Z28" s="5"/>
      <c r="AA28" s="5"/>
    </row>
    <row r="29">
      <c r="A29" s="7" t="s">
        <v>5</v>
      </c>
      <c r="B29" s="71" t="s">
        <v>917</v>
      </c>
      <c r="C29" s="67">
        <v>70.0</v>
      </c>
      <c r="D29" s="79" t="b">
        <v>0</v>
      </c>
      <c r="E29" s="67"/>
      <c r="F29" s="68"/>
      <c r="G29" s="7"/>
      <c r="H29" s="46"/>
      <c r="I29" s="7"/>
      <c r="J29" s="5"/>
      <c r="K29" s="5"/>
      <c r="L29" s="5"/>
      <c r="M29" s="5"/>
      <c r="N29" s="5"/>
      <c r="O29" s="5"/>
      <c r="P29" s="5"/>
      <c r="Q29" s="5"/>
      <c r="R29" s="5"/>
      <c r="S29" s="5"/>
      <c r="T29" s="5"/>
      <c r="U29" s="5"/>
      <c r="V29" s="5"/>
      <c r="W29" s="5"/>
      <c r="X29" s="5"/>
      <c r="Y29" s="5"/>
      <c r="Z29" s="5"/>
      <c r="AA29" s="5"/>
    </row>
    <row r="30">
      <c r="A30" s="7" t="s">
        <v>5</v>
      </c>
      <c r="B30" s="71" t="s">
        <v>920</v>
      </c>
      <c r="C30" s="67">
        <v>79.0</v>
      </c>
      <c r="D30" s="79" t="b">
        <v>1</v>
      </c>
      <c r="E30" s="67"/>
      <c r="F30" s="68"/>
      <c r="G30" s="7"/>
      <c r="H30" s="46"/>
      <c r="I30" s="7"/>
      <c r="J30" s="5"/>
      <c r="K30" s="5"/>
      <c r="L30" s="5"/>
      <c r="M30" s="5"/>
      <c r="N30" s="5"/>
      <c r="O30" s="5"/>
      <c r="P30" s="5"/>
      <c r="Q30" s="5"/>
      <c r="R30" s="5"/>
      <c r="S30" s="5"/>
      <c r="T30" s="5"/>
      <c r="U30" s="5"/>
      <c r="V30" s="5"/>
      <c r="W30" s="5"/>
      <c r="X30" s="5"/>
      <c r="Y30" s="5"/>
      <c r="Z30" s="5"/>
      <c r="AA30" s="5"/>
    </row>
    <row r="31">
      <c r="A31" s="7" t="s">
        <v>5</v>
      </c>
      <c r="B31" s="71" t="s">
        <v>923</v>
      </c>
      <c r="C31" s="67">
        <v>80.0</v>
      </c>
      <c r="D31" s="79" t="b">
        <v>1</v>
      </c>
      <c r="E31" s="67"/>
      <c r="F31" s="68"/>
      <c r="G31" s="7"/>
      <c r="H31" s="46"/>
      <c r="I31" s="7"/>
      <c r="J31" s="5"/>
      <c r="K31" s="5"/>
      <c r="L31" s="5"/>
      <c r="M31" s="5"/>
      <c r="N31" s="5"/>
      <c r="O31" s="5"/>
      <c r="P31" s="5"/>
      <c r="Q31" s="5"/>
      <c r="R31" s="5"/>
      <c r="S31" s="5"/>
      <c r="T31" s="5"/>
      <c r="U31" s="5"/>
      <c r="V31" s="5"/>
      <c r="W31" s="5"/>
      <c r="X31" s="5"/>
      <c r="Y31" s="5"/>
      <c r="Z31" s="5"/>
      <c r="AA31" s="5"/>
    </row>
    <row r="32">
      <c r="A32" s="7" t="s">
        <v>3</v>
      </c>
      <c r="B32" s="71" t="s">
        <v>926</v>
      </c>
      <c r="C32" s="67">
        <v>85.0</v>
      </c>
      <c r="D32" s="79" t="b">
        <v>0</v>
      </c>
      <c r="E32" s="67"/>
      <c r="F32" s="68"/>
      <c r="G32" s="7"/>
      <c r="H32" s="46"/>
      <c r="I32" s="7"/>
      <c r="J32" s="5"/>
      <c r="K32" s="5"/>
      <c r="L32" s="5"/>
      <c r="M32" s="5"/>
      <c r="N32" s="5"/>
      <c r="O32" s="5"/>
      <c r="P32" s="5"/>
      <c r="Q32" s="5"/>
      <c r="R32" s="5"/>
      <c r="S32" s="5"/>
      <c r="T32" s="5"/>
      <c r="U32" s="5"/>
      <c r="V32" s="5"/>
      <c r="W32" s="5"/>
      <c r="X32" s="5"/>
      <c r="Y32" s="5"/>
      <c r="Z32" s="5"/>
      <c r="AA32" s="5"/>
    </row>
    <row r="33">
      <c r="A33" s="7" t="s">
        <v>141</v>
      </c>
      <c r="B33" s="71" t="s">
        <v>929</v>
      </c>
      <c r="C33" s="67">
        <v>86.0</v>
      </c>
      <c r="D33" s="79" t="b">
        <v>1</v>
      </c>
      <c r="E33" s="67"/>
      <c r="F33" s="68"/>
      <c r="G33" s="7"/>
      <c r="H33" s="46"/>
      <c r="I33" s="7"/>
      <c r="J33" s="5"/>
      <c r="K33" s="5"/>
      <c r="L33" s="5"/>
      <c r="M33" s="5"/>
      <c r="N33" s="5"/>
      <c r="O33" s="5"/>
      <c r="P33" s="5"/>
      <c r="Q33" s="5"/>
      <c r="R33" s="5"/>
      <c r="S33" s="5"/>
      <c r="T33" s="5"/>
      <c r="U33" s="5"/>
      <c r="V33" s="5"/>
      <c r="W33" s="5"/>
      <c r="X33" s="5"/>
      <c r="Y33" s="5"/>
      <c r="Z33" s="5"/>
      <c r="AA33" s="5"/>
    </row>
    <row r="34">
      <c r="A34" s="7" t="s">
        <v>5</v>
      </c>
      <c r="B34" s="71" t="s">
        <v>932</v>
      </c>
      <c r="C34" s="67">
        <v>90.0</v>
      </c>
      <c r="D34" s="79" t="b">
        <v>0</v>
      </c>
      <c r="E34" s="75"/>
      <c r="F34" s="68"/>
      <c r="G34" s="5"/>
      <c r="H34" s="46"/>
      <c r="I34" s="5"/>
      <c r="J34" s="5"/>
      <c r="K34" s="5"/>
      <c r="L34" s="5"/>
      <c r="M34" s="5"/>
      <c r="N34" s="5"/>
      <c r="O34" s="5"/>
      <c r="P34" s="5"/>
      <c r="Q34" s="5"/>
      <c r="R34" s="5"/>
      <c r="S34" s="5"/>
      <c r="T34" s="5"/>
      <c r="U34" s="5"/>
      <c r="V34" s="5"/>
      <c r="W34" s="5"/>
      <c r="X34" s="5"/>
      <c r="Y34" s="5"/>
      <c r="Z34" s="5"/>
      <c r="AA34" s="5"/>
    </row>
    <row r="35">
      <c r="A35" s="7" t="s">
        <v>5</v>
      </c>
      <c r="B35" s="71" t="s">
        <v>935</v>
      </c>
      <c r="C35" s="67">
        <v>90.0</v>
      </c>
      <c r="D35" s="79" t="b">
        <v>0</v>
      </c>
      <c r="E35" s="75"/>
      <c r="F35" s="68"/>
      <c r="G35" s="5"/>
      <c r="H35" s="46"/>
      <c r="I35" s="5"/>
      <c r="J35" s="5"/>
      <c r="K35" s="5"/>
      <c r="L35" s="5"/>
      <c r="M35" s="5"/>
      <c r="N35" s="5"/>
      <c r="O35" s="5"/>
      <c r="P35" s="5"/>
      <c r="Q35" s="5"/>
      <c r="R35" s="5"/>
      <c r="S35" s="5"/>
      <c r="T35" s="5"/>
      <c r="U35" s="5"/>
      <c r="V35" s="5"/>
      <c r="W35" s="5"/>
      <c r="X35" s="5"/>
      <c r="Y35" s="5"/>
      <c r="Z35" s="5"/>
      <c r="AA35" s="5"/>
    </row>
    <row r="36">
      <c r="A36" s="7" t="s">
        <v>4</v>
      </c>
      <c r="B36" s="71" t="s">
        <v>195</v>
      </c>
      <c r="C36" s="67">
        <v>90.0</v>
      </c>
      <c r="D36" s="79" t="b">
        <v>0</v>
      </c>
      <c r="E36" s="75"/>
      <c r="F36" s="68"/>
      <c r="G36" s="5"/>
      <c r="H36" s="46"/>
      <c r="I36" s="5"/>
      <c r="J36" s="5"/>
      <c r="K36" s="5"/>
      <c r="L36" s="5"/>
      <c r="M36" s="5"/>
      <c r="N36" s="5"/>
      <c r="O36" s="5"/>
      <c r="P36" s="5"/>
      <c r="Q36" s="5"/>
      <c r="R36" s="5"/>
      <c r="S36" s="5"/>
      <c r="T36" s="5"/>
      <c r="U36" s="5"/>
      <c r="V36" s="5"/>
      <c r="W36" s="5"/>
      <c r="X36" s="5"/>
      <c r="Y36" s="5"/>
      <c r="Z36" s="5"/>
      <c r="AA36" s="5"/>
    </row>
    <row r="37">
      <c r="A37" s="5"/>
      <c r="B37" s="71"/>
      <c r="C37" s="25"/>
      <c r="D37" s="5"/>
      <c r="E37" s="71"/>
      <c r="F37" s="76"/>
      <c r="G37" s="5"/>
      <c r="H37" s="46"/>
      <c r="I37" s="5"/>
      <c r="J37" s="5"/>
      <c r="K37" s="5"/>
      <c r="L37" s="5"/>
      <c r="M37" s="5"/>
      <c r="N37" s="5"/>
      <c r="O37" s="5"/>
      <c r="P37" s="5"/>
      <c r="Q37" s="5"/>
      <c r="R37" s="5"/>
      <c r="S37" s="5"/>
      <c r="T37" s="5"/>
      <c r="U37" s="5"/>
      <c r="V37" s="5"/>
      <c r="W37" s="5"/>
      <c r="X37" s="5"/>
      <c r="Y37" s="5"/>
      <c r="Z37" s="5"/>
      <c r="AA37" s="5"/>
    </row>
    <row r="38">
      <c r="A38" s="46"/>
      <c r="B38" s="46"/>
      <c r="C38" s="77"/>
      <c r="D38" s="5"/>
      <c r="E38" s="71"/>
      <c r="F38" s="76"/>
      <c r="G38" s="5"/>
      <c r="H38" s="46"/>
      <c r="I38" s="5"/>
      <c r="J38" s="5"/>
      <c r="K38" s="5"/>
      <c r="L38" s="5"/>
      <c r="M38" s="5"/>
      <c r="N38" s="5"/>
      <c r="O38" s="5"/>
      <c r="P38" s="5"/>
      <c r="Q38" s="5"/>
      <c r="R38" s="5"/>
      <c r="S38" s="5"/>
      <c r="T38" s="5"/>
      <c r="U38" s="5"/>
      <c r="V38" s="5"/>
      <c r="W38" s="5"/>
      <c r="X38" s="5"/>
      <c r="Y38" s="5"/>
      <c r="Z38" s="5"/>
      <c r="AA38" s="5"/>
    </row>
    <row r="39">
      <c r="A39" s="46"/>
      <c r="B39" s="46"/>
      <c r="C39" s="77"/>
      <c r="D39" s="5"/>
      <c r="E39" s="71"/>
      <c r="F39" s="76"/>
      <c r="G39" s="5"/>
      <c r="H39" s="46"/>
      <c r="I39" s="5"/>
      <c r="J39" s="5"/>
      <c r="K39" s="5"/>
      <c r="L39" s="5"/>
      <c r="M39" s="5"/>
      <c r="N39" s="5"/>
      <c r="O39" s="5"/>
      <c r="P39" s="5"/>
      <c r="Q39" s="5"/>
      <c r="R39" s="5"/>
      <c r="S39" s="5"/>
      <c r="T39" s="5"/>
      <c r="U39" s="5"/>
      <c r="V39" s="5"/>
      <c r="W39" s="5"/>
      <c r="X39" s="5"/>
      <c r="Y39" s="5"/>
      <c r="Z39" s="5"/>
      <c r="AA39" s="5"/>
    </row>
    <row r="40">
      <c r="A40" s="46"/>
      <c r="B40" s="46"/>
      <c r="C40" s="77"/>
      <c r="D40" s="5"/>
      <c r="E40" s="71"/>
      <c r="F40" s="76"/>
      <c r="G40" s="5"/>
      <c r="H40" s="46"/>
      <c r="I40" s="5"/>
      <c r="J40" s="5"/>
      <c r="K40" s="5"/>
      <c r="L40" s="5"/>
      <c r="M40" s="5"/>
      <c r="N40" s="5"/>
      <c r="O40" s="5"/>
      <c r="P40" s="5"/>
      <c r="Q40" s="5"/>
      <c r="R40" s="5"/>
      <c r="S40" s="5"/>
      <c r="T40" s="5"/>
      <c r="U40" s="5"/>
      <c r="V40" s="5"/>
      <c r="W40" s="5"/>
      <c r="X40" s="5"/>
      <c r="Y40" s="5"/>
      <c r="Z40" s="5"/>
      <c r="AA40" s="5"/>
    </row>
    <row r="41">
      <c r="A41" s="46"/>
      <c r="B41" s="46"/>
      <c r="C41" s="77"/>
      <c r="D41" s="5"/>
      <c r="E41" s="71"/>
      <c r="F41" s="76"/>
      <c r="G41" s="5"/>
      <c r="H41" s="46"/>
      <c r="I41" s="5"/>
      <c r="J41" s="5"/>
      <c r="K41" s="5"/>
      <c r="L41" s="5"/>
      <c r="M41" s="5"/>
      <c r="N41" s="5"/>
      <c r="O41" s="5"/>
      <c r="P41" s="5"/>
      <c r="Q41" s="5"/>
      <c r="R41" s="5"/>
      <c r="S41" s="5"/>
      <c r="T41" s="5"/>
      <c r="U41" s="5"/>
      <c r="V41" s="5"/>
      <c r="W41" s="5"/>
      <c r="X41" s="5"/>
      <c r="Y41" s="5"/>
      <c r="Z41" s="5"/>
      <c r="AA41" s="5"/>
    </row>
    <row r="42">
      <c r="A42" s="46"/>
      <c r="B42" s="46"/>
      <c r="C42" s="77"/>
      <c r="D42" s="5"/>
      <c r="E42" s="71"/>
      <c r="F42" s="76"/>
      <c r="G42" s="5"/>
      <c r="H42" s="46"/>
      <c r="I42" s="5"/>
      <c r="J42" s="5"/>
      <c r="K42" s="5"/>
      <c r="L42" s="5"/>
      <c r="M42" s="5"/>
      <c r="N42" s="5"/>
      <c r="O42" s="5"/>
      <c r="P42" s="5"/>
      <c r="Q42" s="5"/>
      <c r="R42" s="5"/>
      <c r="S42" s="5"/>
      <c r="T42" s="5"/>
      <c r="U42" s="5"/>
      <c r="V42" s="5"/>
      <c r="W42" s="5"/>
      <c r="X42" s="5"/>
      <c r="Y42" s="5"/>
      <c r="Z42" s="5"/>
      <c r="AA42" s="5"/>
    </row>
    <row r="43">
      <c r="A43" s="46"/>
      <c r="B43" s="46"/>
      <c r="C43" s="46"/>
      <c r="D43" s="71"/>
      <c r="E43" s="71"/>
      <c r="F43" s="76"/>
      <c r="G43" s="5"/>
      <c r="H43" s="46"/>
      <c r="I43" s="5"/>
      <c r="J43" s="5"/>
      <c r="K43" s="5"/>
      <c r="L43" s="5"/>
      <c r="M43" s="5"/>
      <c r="N43" s="5"/>
      <c r="O43" s="5"/>
      <c r="P43" s="5"/>
      <c r="Q43" s="5"/>
      <c r="R43" s="5"/>
      <c r="S43" s="5"/>
      <c r="T43" s="5"/>
      <c r="U43" s="5"/>
      <c r="V43" s="5"/>
      <c r="W43" s="5"/>
      <c r="X43" s="5"/>
      <c r="Y43" s="5"/>
      <c r="Z43" s="5"/>
      <c r="AA43" s="5"/>
    </row>
    <row r="44">
      <c r="A44" s="46"/>
      <c r="B44" s="46"/>
      <c r="C44" s="46"/>
      <c r="D44" s="5"/>
      <c r="E44" s="5"/>
      <c r="F44" s="76"/>
      <c r="G44" s="5"/>
      <c r="H44" s="46"/>
      <c r="I44" s="5"/>
      <c r="J44" s="5"/>
      <c r="K44" s="5"/>
      <c r="L44" s="5"/>
      <c r="M44" s="5"/>
      <c r="N44" s="5"/>
      <c r="O44" s="5"/>
      <c r="P44" s="5"/>
      <c r="Q44" s="5"/>
      <c r="R44" s="5"/>
      <c r="S44" s="5"/>
      <c r="T44" s="5"/>
      <c r="U44" s="5"/>
      <c r="V44" s="5"/>
      <c r="W44" s="5"/>
      <c r="X44" s="5"/>
      <c r="Y44" s="5"/>
      <c r="Z44" s="5"/>
      <c r="AA44" s="5"/>
    </row>
    <row r="45">
      <c r="A45" s="46"/>
      <c r="B45" s="46"/>
      <c r="C45" s="46"/>
      <c r="D45" s="5"/>
      <c r="E45" s="5"/>
      <c r="F45" s="76"/>
      <c r="G45" s="5"/>
      <c r="H45" s="46"/>
      <c r="I45" s="5"/>
      <c r="J45" s="5"/>
      <c r="K45" s="5"/>
      <c r="L45" s="5"/>
      <c r="M45" s="5"/>
      <c r="N45" s="5"/>
      <c r="O45" s="5"/>
      <c r="P45" s="5"/>
      <c r="Q45" s="5"/>
      <c r="R45" s="5"/>
      <c r="S45" s="5"/>
      <c r="T45" s="5"/>
      <c r="U45" s="5"/>
      <c r="V45" s="5"/>
      <c r="W45" s="5"/>
      <c r="X45" s="5"/>
      <c r="Y45" s="5"/>
      <c r="Z45" s="5"/>
      <c r="AA45" s="5"/>
    </row>
    <row r="46">
      <c r="A46" s="46"/>
      <c r="B46" s="46"/>
      <c r="C46" s="46"/>
      <c r="D46" s="5"/>
      <c r="E46" s="5"/>
      <c r="F46" s="76"/>
      <c r="G46" s="5"/>
      <c r="H46" s="46"/>
      <c r="I46" s="5"/>
      <c r="J46" s="5"/>
      <c r="K46" s="5"/>
      <c r="L46" s="5"/>
      <c r="M46" s="5"/>
      <c r="N46" s="5"/>
      <c r="O46" s="5"/>
      <c r="P46" s="5"/>
      <c r="Q46" s="5"/>
      <c r="R46" s="5"/>
      <c r="S46" s="5"/>
      <c r="T46" s="5"/>
      <c r="U46" s="5"/>
      <c r="V46" s="5"/>
      <c r="W46" s="5"/>
      <c r="X46" s="5"/>
      <c r="Y46" s="5"/>
      <c r="Z46" s="5"/>
      <c r="AA46" s="5"/>
    </row>
    <row r="47">
      <c r="A47" s="46"/>
      <c r="B47" s="46"/>
      <c r="C47" s="46"/>
      <c r="D47" s="5"/>
      <c r="E47" s="5"/>
      <c r="F47" s="76"/>
      <c r="G47" s="5"/>
      <c r="H47" s="46"/>
      <c r="I47" s="5"/>
      <c r="J47" s="5"/>
      <c r="K47" s="5"/>
      <c r="L47" s="5"/>
      <c r="M47" s="5"/>
      <c r="N47" s="5"/>
      <c r="O47" s="5"/>
      <c r="P47" s="5"/>
      <c r="Q47" s="5"/>
      <c r="R47" s="5"/>
      <c r="S47" s="5"/>
      <c r="T47" s="5"/>
      <c r="U47" s="5"/>
      <c r="V47" s="5"/>
      <c r="W47" s="5"/>
      <c r="X47" s="5"/>
      <c r="Y47" s="5"/>
      <c r="Z47" s="5"/>
      <c r="AA47" s="5"/>
    </row>
    <row r="48">
      <c r="A48" s="46"/>
      <c r="B48" s="46"/>
      <c r="C48" s="46"/>
      <c r="D48" s="5"/>
      <c r="E48" s="5"/>
      <c r="F48" s="76"/>
      <c r="G48" s="5"/>
      <c r="H48" s="46"/>
      <c r="I48" s="5"/>
      <c r="J48" s="5"/>
      <c r="K48" s="5"/>
      <c r="L48" s="5"/>
      <c r="M48" s="5"/>
      <c r="N48" s="5"/>
      <c r="O48" s="5"/>
      <c r="P48" s="5"/>
      <c r="Q48" s="5"/>
      <c r="R48" s="5"/>
      <c r="S48" s="5"/>
      <c r="T48" s="5"/>
      <c r="U48" s="5"/>
      <c r="V48" s="5"/>
      <c r="W48" s="5"/>
      <c r="X48" s="5"/>
      <c r="Y48" s="5"/>
      <c r="Z48" s="5"/>
      <c r="AA48" s="5"/>
    </row>
    <row r="49">
      <c r="A49" s="46"/>
      <c r="B49" s="46"/>
      <c r="C49" s="46"/>
      <c r="D49" s="5"/>
      <c r="E49" s="5"/>
      <c r="F49" s="76"/>
      <c r="G49" s="5"/>
      <c r="H49" s="46"/>
      <c r="I49" s="5"/>
      <c r="J49" s="5"/>
      <c r="K49" s="5"/>
      <c r="L49" s="5"/>
      <c r="M49" s="5"/>
      <c r="N49" s="5"/>
      <c r="O49" s="5"/>
      <c r="P49" s="5"/>
      <c r="Q49" s="5"/>
      <c r="R49" s="5"/>
      <c r="S49" s="5"/>
      <c r="T49" s="5"/>
      <c r="U49" s="5"/>
      <c r="V49" s="5"/>
      <c r="W49" s="5"/>
      <c r="X49" s="5"/>
      <c r="Y49" s="5"/>
      <c r="Z49" s="5"/>
      <c r="AA49" s="5"/>
    </row>
    <row r="50">
      <c r="A50" s="46"/>
      <c r="B50" s="46"/>
      <c r="C50" s="46"/>
      <c r="D50" s="5"/>
      <c r="E50" s="5"/>
      <c r="F50" s="76"/>
      <c r="G50" s="5"/>
      <c r="H50" s="46"/>
      <c r="I50" s="5"/>
      <c r="J50" s="5"/>
      <c r="K50" s="5"/>
      <c r="L50" s="5"/>
      <c r="M50" s="5"/>
      <c r="N50" s="5"/>
      <c r="O50" s="5"/>
      <c r="P50" s="5"/>
      <c r="Q50" s="5"/>
      <c r="R50" s="5"/>
      <c r="S50" s="5"/>
      <c r="T50" s="5"/>
      <c r="U50" s="5"/>
      <c r="V50" s="5"/>
      <c r="W50" s="5"/>
      <c r="X50" s="5"/>
      <c r="Y50" s="5"/>
      <c r="Z50" s="5"/>
      <c r="AA50" s="5"/>
    </row>
    <row r="51">
      <c r="A51" s="46"/>
      <c r="B51" s="46"/>
      <c r="C51" s="46"/>
      <c r="D51" s="5"/>
      <c r="E51" s="5"/>
      <c r="F51" s="76"/>
      <c r="G51" s="5"/>
      <c r="H51" s="46"/>
      <c r="I51" s="5"/>
      <c r="J51" s="5"/>
      <c r="K51" s="5"/>
      <c r="L51" s="5"/>
      <c r="M51" s="5"/>
      <c r="N51" s="5"/>
      <c r="O51" s="5"/>
      <c r="P51" s="5"/>
      <c r="Q51" s="5"/>
      <c r="R51" s="5"/>
      <c r="S51" s="5"/>
      <c r="T51" s="5"/>
      <c r="U51" s="5"/>
      <c r="V51" s="5"/>
      <c r="W51" s="5"/>
      <c r="X51" s="5"/>
      <c r="Y51" s="5"/>
      <c r="Z51" s="5"/>
      <c r="AA51" s="5"/>
    </row>
    <row r="52">
      <c r="A52" s="5"/>
      <c r="B52" s="5"/>
      <c r="C52" s="5"/>
      <c r="D52" s="5"/>
      <c r="E52" s="5"/>
      <c r="F52" s="76"/>
      <c r="G52" s="5"/>
      <c r="H52" s="46"/>
      <c r="I52" s="5"/>
      <c r="J52" s="5"/>
      <c r="K52" s="5"/>
      <c r="L52" s="5"/>
      <c r="M52" s="5"/>
      <c r="N52" s="5"/>
      <c r="O52" s="5"/>
      <c r="P52" s="5"/>
      <c r="Q52" s="5"/>
      <c r="R52" s="5"/>
      <c r="S52" s="5"/>
      <c r="T52" s="5"/>
      <c r="U52" s="5"/>
      <c r="V52" s="5"/>
      <c r="W52" s="5"/>
      <c r="X52" s="5"/>
      <c r="Y52" s="5"/>
      <c r="Z52" s="5"/>
      <c r="AA52" s="5"/>
    </row>
    <row r="53">
      <c r="A53" s="5"/>
      <c r="B53" s="5"/>
      <c r="C53" s="5"/>
      <c r="D53" s="5"/>
      <c r="E53" s="5"/>
      <c r="F53" s="76"/>
      <c r="G53" s="5"/>
      <c r="H53" s="46"/>
      <c r="I53" s="5"/>
      <c r="J53" s="5"/>
      <c r="K53" s="5"/>
      <c r="L53" s="5"/>
      <c r="M53" s="5"/>
      <c r="N53" s="5"/>
      <c r="O53" s="5"/>
      <c r="P53" s="5"/>
      <c r="Q53" s="5"/>
      <c r="R53" s="5"/>
      <c r="S53" s="5"/>
      <c r="T53" s="5"/>
      <c r="U53" s="5"/>
      <c r="V53" s="5"/>
      <c r="W53" s="5"/>
      <c r="X53" s="5"/>
      <c r="Y53" s="5"/>
      <c r="Z53" s="5"/>
      <c r="AA53" s="5"/>
    </row>
    <row r="54">
      <c r="A54" s="5"/>
      <c r="B54" s="5"/>
      <c r="C54" s="5"/>
      <c r="D54" s="5"/>
      <c r="E54" s="5"/>
      <c r="F54" s="76"/>
      <c r="G54" s="5"/>
      <c r="H54" s="46"/>
      <c r="I54" s="5"/>
      <c r="J54" s="5"/>
      <c r="K54" s="5"/>
      <c r="L54" s="5"/>
      <c r="M54" s="5"/>
      <c r="N54" s="5"/>
      <c r="O54" s="5"/>
      <c r="P54" s="5"/>
      <c r="Q54" s="5"/>
      <c r="R54" s="5"/>
      <c r="S54" s="5"/>
      <c r="T54" s="5"/>
      <c r="U54" s="5"/>
      <c r="V54" s="5"/>
      <c r="W54" s="5"/>
      <c r="X54" s="5"/>
      <c r="Y54" s="5"/>
      <c r="Z54" s="5"/>
      <c r="AA54" s="5"/>
    </row>
    <row r="55">
      <c r="A55" s="5"/>
      <c r="B55" s="5"/>
      <c r="C55" s="5"/>
      <c r="D55" s="5"/>
      <c r="E55" s="5"/>
      <c r="F55" s="76"/>
      <c r="G55" s="5"/>
      <c r="H55" s="46"/>
      <c r="I55" s="5"/>
      <c r="J55" s="5"/>
      <c r="K55" s="5"/>
      <c r="L55" s="5"/>
      <c r="M55" s="5"/>
      <c r="N55" s="5"/>
      <c r="O55" s="5"/>
      <c r="P55" s="5"/>
      <c r="Q55" s="5"/>
      <c r="R55" s="5"/>
      <c r="S55" s="5"/>
      <c r="T55" s="5"/>
      <c r="U55" s="5"/>
      <c r="V55" s="5"/>
      <c r="W55" s="5"/>
      <c r="X55" s="5"/>
      <c r="Y55" s="5"/>
      <c r="Z55" s="5"/>
      <c r="AA55" s="5"/>
    </row>
    <row r="56">
      <c r="A56" s="5"/>
      <c r="B56" s="5"/>
      <c r="C56" s="5"/>
      <c r="D56" s="5"/>
      <c r="E56" s="5"/>
      <c r="F56" s="76"/>
      <c r="G56" s="5"/>
      <c r="H56" s="46"/>
      <c r="I56" s="5"/>
      <c r="J56" s="5"/>
      <c r="K56" s="5"/>
      <c r="L56" s="5"/>
      <c r="M56" s="5"/>
      <c r="N56" s="5"/>
      <c r="O56" s="5"/>
      <c r="P56" s="5"/>
      <c r="Q56" s="5"/>
      <c r="R56" s="5"/>
      <c r="S56" s="5"/>
      <c r="T56" s="5"/>
      <c r="U56" s="5"/>
      <c r="V56" s="5"/>
      <c r="W56" s="5"/>
      <c r="X56" s="5"/>
      <c r="Y56" s="5"/>
      <c r="Z56" s="5"/>
      <c r="AA56" s="5"/>
    </row>
    <row r="57">
      <c r="A57" s="5"/>
      <c r="B57" s="5"/>
      <c r="C57" s="5"/>
      <c r="D57" s="5"/>
      <c r="E57" s="5"/>
      <c r="F57" s="76"/>
      <c r="G57" s="5"/>
      <c r="H57" s="46"/>
      <c r="I57" s="5"/>
      <c r="J57" s="5"/>
      <c r="K57" s="5"/>
      <c r="L57" s="5"/>
      <c r="M57" s="5"/>
      <c r="N57" s="5"/>
      <c r="O57" s="5"/>
      <c r="P57" s="5"/>
      <c r="Q57" s="5"/>
      <c r="R57" s="5"/>
      <c r="S57" s="5"/>
      <c r="T57" s="5"/>
      <c r="U57" s="5"/>
      <c r="V57" s="5"/>
      <c r="W57" s="5"/>
      <c r="X57" s="5"/>
      <c r="Y57" s="5"/>
      <c r="Z57" s="5"/>
      <c r="AA57" s="5"/>
    </row>
    <row r="58">
      <c r="A58" s="5"/>
      <c r="B58" s="5"/>
      <c r="C58" s="5"/>
      <c r="D58" s="5"/>
      <c r="E58" s="5"/>
      <c r="F58" s="76"/>
      <c r="G58" s="5"/>
      <c r="H58" s="46"/>
      <c r="I58" s="5"/>
      <c r="J58" s="5"/>
      <c r="K58" s="5"/>
      <c r="L58" s="5"/>
      <c r="M58" s="5"/>
      <c r="N58" s="5"/>
      <c r="O58" s="5"/>
      <c r="P58" s="5"/>
      <c r="Q58" s="5"/>
      <c r="R58" s="5"/>
      <c r="S58" s="5"/>
      <c r="T58" s="5"/>
      <c r="U58" s="5"/>
      <c r="V58" s="5"/>
      <c r="W58" s="5"/>
      <c r="X58" s="5"/>
      <c r="Y58" s="5"/>
      <c r="Z58" s="5"/>
      <c r="AA58" s="5"/>
    </row>
    <row r="59">
      <c r="A59" s="5"/>
      <c r="B59" s="5"/>
      <c r="C59" s="5"/>
      <c r="D59" s="5"/>
      <c r="E59" s="5"/>
      <c r="F59" s="76"/>
      <c r="G59" s="5"/>
      <c r="H59" s="46"/>
      <c r="I59" s="5"/>
      <c r="J59" s="5"/>
      <c r="K59" s="5"/>
      <c r="L59" s="5"/>
      <c r="M59" s="5"/>
      <c r="N59" s="5"/>
      <c r="O59" s="5"/>
      <c r="P59" s="5"/>
      <c r="Q59" s="5"/>
      <c r="R59" s="5"/>
      <c r="S59" s="5"/>
      <c r="T59" s="5"/>
      <c r="U59" s="5"/>
      <c r="V59" s="5"/>
      <c r="W59" s="5"/>
      <c r="X59" s="5"/>
      <c r="Y59" s="5"/>
      <c r="Z59" s="5"/>
      <c r="AA59" s="5"/>
    </row>
    <row r="60">
      <c r="A60" s="5"/>
      <c r="B60" s="5"/>
      <c r="C60" s="5"/>
      <c r="D60" s="5"/>
      <c r="E60" s="5"/>
      <c r="F60" s="76"/>
      <c r="G60" s="5"/>
      <c r="H60" s="46"/>
      <c r="I60" s="5"/>
      <c r="J60" s="5"/>
      <c r="K60" s="5"/>
      <c r="L60" s="5"/>
      <c r="M60" s="5"/>
      <c r="N60" s="5"/>
      <c r="O60" s="5"/>
      <c r="P60" s="5"/>
      <c r="Q60" s="5"/>
      <c r="R60" s="5"/>
      <c r="S60" s="5"/>
      <c r="T60" s="5"/>
      <c r="U60" s="5"/>
      <c r="V60" s="5"/>
      <c r="W60" s="5"/>
      <c r="X60" s="5"/>
      <c r="Y60" s="5"/>
      <c r="Z60" s="5"/>
      <c r="AA60" s="5"/>
    </row>
    <row r="61">
      <c r="A61" s="5"/>
      <c r="B61" s="5"/>
      <c r="C61" s="5"/>
      <c r="D61" s="5"/>
      <c r="E61" s="5"/>
      <c r="F61" s="76"/>
      <c r="G61" s="5"/>
      <c r="H61" s="46"/>
      <c r="I61" s="5"/>
      <c r="J61" s="5"/>
      <c r="K61" s="5"/>
      <c r="L61" s="5"/>
      <c r="M61" s="5"/>
      <c r="N61" s="5"/>
      <c r="O61" s="5"/>
      <c r="P61" s="5"/>
      <c r="Q61" s="5"/>
      <c r="R61" s="5"/>
      <c r="S61" s="5"/>
      <c r="T61" s="5"/>
      <c r="U61" s="5"/>
      <c r="V61" s="5"/>
      <c r="W61" s="5"/>
      <c r="X61" s="5"/>
      <c r="Y61" s="5"/>
      <c r="Z61" s="5"/>
      <c r="AA61" s="5"/>
    </row>
    <row r="62">
      <c r="A62" s="5"/>
      <c r="B62" s="5"/>
      <c r="C62" s="5"/>
      <c r="D62" s="5"/>
      <c r="E62" s="5"/>
      <c r="F62" s="76"/>
      <c r="G62" s="5"/>
      <c r="H62" s="46"/>
      <c r="I62" s="5"/>
      <c r="J62" s="5"/>
      <c r="K62" s="5"/>
      <c r="L62" s="5"/>
      <c r="M62" s="5"/>
      <c r="N62" s="5"/>
      <c r="O62" s="5"/>
      <c r="P62" s="5"/>
      <c r="Q62" s="5"/>
      <c r="R62" s="5"/>
      <c r="S62" s="5"/>
      <c r="T62" s="5"/>
      <c r="U62" s="5"/>
      <c r="V62" s="5"/>
      <c r="W62" s="5"/>
      <c r="X62" s="5"/>
      <c r="Y62" s="5"/>
      <c r="Z62" s="5"/>
      <c r="AA62" s="5"/>
    </row>
    <row r="63">
      <c r="A63" s="5"/>
      <c r="B63" s="5"/>
      <c r="C63" s="5"/>
      <c r="D63" s="5"/>
      <c r="E63" s="5"/>
      <c r="F63" s="76"/>
      <c r="G63" s="5"/>
      <c r="H63" s="46"/>
      <c r="I63" s="5"/>
      <c r="J63" s="5"/>
      <c r="K63" s="5"/>
      <c r="L63" s="5"/>
      <c r="M63" s="5"/>
      <c r="N63" s="5"/>
      <c r="O63" s="5"/>
      <c r="P63" s="5"/>
      <c r="Q63" s="5"/>
      <c r="R63" s="5"/>
      <c r="S63" s="5"/>
      <c r="T63" s="5"/>
      <c r="U63" s="5"/>
      <c r="V63" s="5"/>
      <c r="W63" s="5"/>
      <c r="X63" s="5"/>
      <c r="Y63" s="5"/>
      <c r="Z63" s="5"/>
      <c r="AA63" s="5"/>
    </row>
    <row r="64">
      <c r="A64" s="5"/>
      <c r="B64" s="5"/>
      <c r="C64" s="5"/>
      <c r="D64" s="5"/>
      <c r="E64" s="5"/>
      <c r="F64" s="76"/>
      <c r="G64" s="5"/>
      <c r="H64" s="46"/>
      <c r="I64" s="5"/>
      <c r="J64" s="5"/>
      <c r="K64" s="5"/>
      <c r="L64" s="5"/>
      <c r="M64" s="5"/>
      <c r="N64" s="5"/>
      <c r="O64" s="5"/>
      <c r="P64" s="5"/>
      <c r="Q64" s="5"/>
      <c r="R64" s="5"/>
      <c r="S64" s="5"/>
      <c r="T64" s="5"/>
      <c r="U64" s="5"/>
      <c r="V64" s="5"/>
      <c r="W64" s="5"/>
      <c r="X64" s="5"/>
      <c r="Y64" s="5"/>
      <c r="Z64" s="5"/>
      <c r="AA64" s="5"/>
    </row>
    <row r="65">
      <c r="A65" s="5"/>
      <c r="B65" s="5"/>
      <c r="C65" s="5"/>
      <c r="D65" s="5"/>
      <c r="E65" s="5"/>
      <c r="F65" s="76"/>
      <c r="G65" s="5"/>
      <c r="H65" s="46"/>
      <c r="I65" s="5"/>
      <c r="J65" s="5"/>
      <c r="K65" s="5"/>
      <c r="L65" s="5"/>
      <c r="M65" s="5"/>
      <c r="N65" s="5"/>
      <c r="O65" s="5"/>
      <c r="P65" s="5"/>
      <c r="Q65" s="5"/>
      <c r="R65" s="5"/>
      <c r="S65" s="5"/>
      <c r="T65" s="5"/>
      <c r="U65" s="5"/>
      <c r="V65" s="5"/>
      <c r="W65" s="5"/>
      <c r="X65" s="5"/>
      <c r="Y65" s="5"/>
      <c r="Z65" s="5"/>
      <c r="AA65" s="5"/>
    </row>
    <row r="66">
      <c r="A66" s="5"/>
      <c r="B66" s="5"/>
      <c r="C66" s="5"/>
      <c r="D66" s="5"/>
      <c r="E66" s="5"/>
      <c r="F66" s="76"/>
      <c r="G66" s="5"/>
      <c r="H66" s="46"/>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46"/>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46"/>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46"/>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46"/>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46"/>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46"/>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46"/>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46"/>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46"/>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46"/>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46"/>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46"/>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46"/>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46"/>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46"/>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46"/>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46"/>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46"/>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46"/>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46"/>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46"/>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46"/>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46"/>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46"/>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46"/>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46"/>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46"/>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46"/>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46"/>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46"/>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46"/>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46"/>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46"/>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46"/>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46"/>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46"/>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46"/>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46"/>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46"/>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46"/>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46"/>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46"/>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46"/>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46"/>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46"/>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46"/>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46"/>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46"/>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46"/>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46"/>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46"/>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46"/>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46"/>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46"/>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46"/>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46"/>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46"/>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46"/>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46"/>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46"/>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46"/>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46"/>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46"/>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46"/>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46"/>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46"/>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46"/>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46"/>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46"/>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46"/>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46"/>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46"/>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46"/>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46"/>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46"/>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46"/>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46"/>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46"/>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46"/>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46"/>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46"/>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46"/>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46"/>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46"/>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46"/>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46"/>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46"/>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46"/>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46"/>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46"/>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46"/>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46"/>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46"/>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46"/>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46"/>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46"/>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46"/>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46"/>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46"/>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46"/>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46"/>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46"/>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46"/>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46"/>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46"/>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46"/>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46"/>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46"/>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46"/>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46"/>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46"/>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46"/>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46"/>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46"/>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46"/>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46"/>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46"/>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46"/>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46"/>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46"/>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46"/>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46"/>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46"/>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46"/>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46"/>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46"/>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46"/>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46"/>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46"/>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46"/>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46"/>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46"/>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46"/>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46"/>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46"/>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46"/>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46"/>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46"/>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46"/>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46"/>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46"/>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46"/>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46"/>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46"/>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46"/>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46"/>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46"/>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46"/>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46"/>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46"/>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46"/>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46"/>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46"/>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46"/>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46"/>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46"/>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46"/>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46"/>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46"/>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46"/>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46"/>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46"/>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46"/>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46"/>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46"/>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46"/>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46"/>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46"/>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46"/>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46"/>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46"/>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46"/>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46"/>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46"/>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46"/>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46"/>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46"/>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46"/>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46"/>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46"/>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46"/>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46"/>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46"/>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46"/>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46"/>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46"/>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46"/>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46"/>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46"/>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46"/>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46"/>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46"/>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46"/>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46"/>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46"/>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46"/>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46"/>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46"/>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46"/>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46"/>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46"/>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46"/>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46"/>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46"/>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46"/>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46"/>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46"/>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46"/>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46"/>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46"/>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46"/>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46"/>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46"/>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46"/>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46"/>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46"/>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46"/>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46"/>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46"/>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46"/>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46"/>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46"/>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46"/>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46"/>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46"/>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46"/>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46"/>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46"/>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46"/>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46"/>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46"/>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46"/>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46"/>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46"/>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46"/>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46"/>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46"/>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46"/>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46"/>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46"/>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46"/>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46"/>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46"/>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46"/>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46"/>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46"/>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46"/>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46"/>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46"/>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46"/>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46"/>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46"/>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46"/>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46"/>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46"/>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46"/>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46"/>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46"/>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46"/>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46"/>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46"/>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46"/>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46"/>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46"/>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46"/>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46"/>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46"/>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46"/>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46"/>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46"/>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46"/>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46"/>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46"/>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46"/>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46"/>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46"/>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46"/>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46"/>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46"/>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46"/>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46"/>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46"/>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46"/>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46"/>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46"/>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46"/>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46"/>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46"/>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46"/>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46"/>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46"/>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46"/>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46"/>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46"/>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46"/>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46"/>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46"/>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46"/>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46"/>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46"/>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46"/>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46"/>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46"/>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46"/>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46"/>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46"/>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46"/>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46"/>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46"/>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46"/>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46"/>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46"/>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46"/>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46"/>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46"/>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46"/>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46"/>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46"/>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46"/>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46"/>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46"/>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46"/>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46"/>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46"/>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46"/>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46"/>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46"/>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46"/>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46"/>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46"/>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46"/>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46"/>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46"/>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46"/>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46"/>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46"/>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46"/>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46"/>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46"/>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46"/>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46"/>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46"/>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46"/>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46"/>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46"/>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46"/>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46"/>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46"/>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46"/>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46"/>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46"/>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46"/>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46"/>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46"/>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46"/>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46"/>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46"/>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46"/>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46"/>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46"/>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46"/>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46"/>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46"/>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46"/>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46"/>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46"/>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46"/>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46"/>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46"/>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46"/>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46"/>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46"/>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46"/>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46"/>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46"/>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46"/>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46"/>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46"/>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46"/>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46"/>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46"/>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46"/>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46"/>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46"/>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46"/>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46"/>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46"/>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46"/>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46"/>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46"/>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46"/>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46"/>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46"/>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46"/>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46"/>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46"/>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46"/>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46"/>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46"/>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46"/>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46"/>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46"/>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46"/>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46"/>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46"/>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46"/>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46"/>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46"/>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46"/>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46"/>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46"/>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46"/>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46"/>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46"/>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46"/>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46"/>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46"/>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46"/>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46"/>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46"/>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46"/>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46"/>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46"/>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46"/>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46"/>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46"/>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46"/>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46"/>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46"/>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46"/>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46"/>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46"/>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46"/>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46"/>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46"/>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46"/>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46"/>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46"/>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46"/>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46"/>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46"/>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46"/>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46"/>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46"/>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46"/>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46"/>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46"/>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46"/>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46"/>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46"/>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46"/>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46"/>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46"/>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46"/>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46"/>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46"/>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46"/>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46"/>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46"/>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46"/>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46"/>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46"/>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46"/>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46"/>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46"/>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46"/>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46"/>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46"/>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46"/>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46"/>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46"/>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46"/>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46"/>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46"/>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46"/>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46"/>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46"/>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46"/>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46"/>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46"/>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46"/>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46"/>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46"/>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46"/>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46"/>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46"/>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46"/>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46"/>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46"/>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46"/>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46"/>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46"/>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46"/>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46"/>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46"/>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46"/>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46"/>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46"/>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46"/>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46"/>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46"/>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46"/>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46"/>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46"/>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46"/>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46"/>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46"/>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46"/>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46"/>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46"/>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46"/>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46"/>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46"/>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46"/>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46"/>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46"/>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46"/>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46"/>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46"/>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46"/>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46"/>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46"/>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46"/>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46"/>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46"/>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46"/>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46"/>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46"/>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46"/>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46"/>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46"/>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46"/>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46"/>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46"/>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46"/>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46"/>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46"/>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46"/>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46"/>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46"/>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46"/>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46"/>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46"/>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46"/>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46"/>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46"/>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46"/>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46"/>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46"/>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46"/>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46"/>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46"/>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46"/>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46"/>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46"/>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46"/>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46"/>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46"/>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46"/>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46"/>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46"/>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46"/>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46"/>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46"/>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46"/>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46"/>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46"/>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46"/>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46"/>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46"/>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46"/>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46"/>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46"/>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46"/>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46"/>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46"/>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46"/>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46"/>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46"/>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46"/>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46"/>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46"/>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46"/>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46"/>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46"/>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46"/>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46"/>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46"/>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46"/>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46"/>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46"/>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46"/>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46"/>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46"/>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46"/>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46"/>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46"/>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46"/>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46"/>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46"/>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46"/>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46"/>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46"/>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46"/>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46"/>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46"/>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46"/>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46"/>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46"/>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46"/>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46"/>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46"/>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46"/>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46"/>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46"/>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46"/>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46"/>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46"/>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46"/>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46"/>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46"/>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46"/>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46"/>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46"/>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46"/>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46"/>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46"/>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46"/>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46"/>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46"/>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46"/>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46"/>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46"/>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46"/>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46"/>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46"/>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46"/>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46"/>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46"/>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46"/>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46"/>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46"/>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46"/>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46"/>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46"/>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46"/>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46"/>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46"/>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46"/>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46"/>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46"/>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46"/>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46"/>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46"/>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46"/>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46"/>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46"/>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46"/>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46"/>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46"/>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46"/>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46"/>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46"/>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46"/>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46"/>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46"/>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46"/>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46"/>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46"/>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46"/>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46"/>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46"/>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46"/>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46"/>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46"/>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46"/>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46"/>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46"/>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46"/>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46"/>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46"/>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46"/>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46"/>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46"/>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46"/>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46"/>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46"/>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46"/>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46"/>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46"/>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46"/>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46"/>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46"/>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46"/>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46"/>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46"/>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46"/>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46"/>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46"/>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46"/>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46"/>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46"/>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46"/>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46"/>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46"/>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46"/>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46"/>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46"/>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46"/>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46"/>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46"/>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46"/>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46"/>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46"/>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46"/>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46"/>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46"/>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46"/>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46"/>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46"/>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46"/>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46"/>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46"/>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46"/>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46"/>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46"/>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46"/>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46"/>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46"/>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46"/>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46"/>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46"/>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46"/>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46"/>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46"/>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46"/>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46"/>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46"/>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46"/>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46"/>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46"/>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46"/>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46"/>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46"/>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46"/>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46"/>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46"/>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46"/>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46"/>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46"/>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46"/>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46"/>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46"/>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46"/>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46"/>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46"/>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46"/>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46"/>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46"/>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46"/>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46"/>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46"/>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46"/>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46"/>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46"/>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46"/>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46"/>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46"/>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46"/>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46"/>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46"/>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46"/>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46"/>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46"/>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46"/>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46"/>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46"/>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46"/>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46"/>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46"/>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46"/>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46"/>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46"/>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46"/>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46"/>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46"/>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46"/>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46"/>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46"/>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46"/>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46"/>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46"/>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46"/>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46"/>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46"/>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46"/>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46"/>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46"/>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46"/>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46"/>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46"/>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46"/>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46"/>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46"/>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46"/>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46"/>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46"/>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46"/>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46"/>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46"/>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46"/>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46"/>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46"/>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46"/>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46"/>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46"/>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46"/>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46"/>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46"/>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46"/>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46"/>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46"/>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46"/>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46"/>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46"/>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46"/>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46"/>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46"/>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46"/>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46"/>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46"/>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46"/>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46"/>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46"/>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46"/>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46"/>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46"/>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46"/>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46"/>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46"/>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46"/>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46"/>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46"/>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46"/>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46"/>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46"/>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46"/>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46"/>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46"/>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46"/>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46"/>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46"/>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46"/>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46"/>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46"/>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46"/>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46"/>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46"/>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46"/>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46"/>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46"/>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46"/>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46"/>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46"/>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46"/>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46"/>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46"/>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46"/>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46"/>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46"/>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46"/>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46"/>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46"/>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46"/>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46"/>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46"/>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46"/>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46"/>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46"/>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46"/>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46"/>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46"/>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46"/>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46"/>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46"/>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46"/>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46"/>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46"/>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46"/>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46"/>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46"/>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46"/>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46"/>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46"/>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46"/>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46"/>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46"/>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46"/>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46"/>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46"/>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46"/>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46"/>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46"/>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46"/>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46"/>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46"/>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46"/>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46"/>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46"/>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46"/>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46"/>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46"/>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46"/>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46"/>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46"/>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46"/>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46"/>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46"/>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46"/>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46"/>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46"/>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46"/>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46"/>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46"/>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46"/>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46"/>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46"/>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46"/>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46"/>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46"/>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46"/>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46"/>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46"/>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46"/>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c r="J1" s="13"/>
      <c r="K1" s="5"/>
      <c r="L1" s="5"/>
      <c r="M1" s="5"/>
      <c r="N1" s="5"/>
      <c r="O1" s="5"/>
      <c r="P1" s="5"/>
      <c r="Q1" s="5"/>
      <c r="R1" s="5"/>
      <c r="S1" s="5"/>
      <c r="T1" s="5"/>
      <c r="U1" s="5"/>
      <c r="V1" s="5"/>
      <c r="W1" s="5"/>
      <c r="X1" s="5"/>
      <c r="Y1" s="5"/>
      <c r="Z1" s="5"/>
      <c r="AA1" s="5"/>
    </row>
    <row r="2">
      <c r="A2" s="7" t="s">
        <v>93</v>
      </c>
      <c r="B2" s="7" t="s">
        <v>108</v>
      </c>
      <c r="C2" s="67">
        <f t="shared" ref="C2:C6" si="1">COUNTIF(I:I,A2)</f>
        <v>1</v>
      </c>
      <c r="D2" s="17">
        <f t="shared" ref="D2:D6" si="2">C2/COUNTA(I$2:I1000)</f>
        <v>0.03846153846</v>
      </c>
      <c r="E2" s="77">
        <v>1.593104502E9</v>
      </c>
      <c r="F2" s="68">
        <f>IFERROR(__xludf.DUMMYFUNCTION("INDEX(SPLIT(E2, char(10)), 0, 1)/86400+date(1970,1,1)"),44007.70951388888)</f>
        <v>44007.70951</v>
      </c>
      <c r="G2" s="46" t="s">
        <v>967</v>
      </c>
      <c r="H2" s="46" t="s">
        <v>968</v>
      </c>
      <c r="I2" s="46" t="s">
        <v>11</v>
      </c>
      <c r="J2" s="5"/>
      <c r="K2" s="5"/>
      <c r="L2" s="5"/>
      <c r="M2" s="5"/>
      <c r="N2" s="5"/>
      <c r="O2" s="5"/>
      <c r="P2" s="5"/>
      <c r="Q2" s="5"/>
      <c r="R2" s="5"/>
      <c r="S2" s="5"/>
      <c r="T2" s="5"/>
      <c r="U2" s="5"/>
      <c r="V2" s="5"/>
      <c r="W2" s="5"/>
      <c r="X2" s="5"/>
      <c r="Y2" s="5"/>
      <c r="Z2" s="5"/>
      <c r="AA2" s="5"/>
    </row>
    <row r="3">
      <c r="A3" s="7" t="s">
        <v>11</v>
      </c>
      <c r="B3" s="7" t="s">
        <v>111</v>
      </c>
      <c r="C3" s="67">
        <f t="shared" si="1"/>
        <v>2</v>
      </c>
      <c r="D3" s="17">
        <f t="shared" si="2"/>
        <v>0.07692307692</v>
      </c>
      <c r="E3" s="77">
        <v>1.593104921E9</v>
      </c>
      <c r="F3" s="68">
        <f>IFERROR(__xludf.DUMMYFUNCTION("INDEX(SPLIT(E3, char(10)), 0, 1)/86400+date(1970,1,1)"),44007.71436342593)</f>
        <v>44007.71436</v>
      </c>
      <c r="G3" s="46" t="s">
        <v>386</v>
      </c>
      <c r="H3" s="46" t="s">
        <v>969</v>
      </c>
      <c r="I3" s="46" t="s">
        <v>13</v>
      </c>
      <c r="J3" s="5"/>
      <c r="K3" s="5"/>
      <c r="L3" s="5"/>
      <c r="M3" s="5"/>
      <c r="N3" s="5"/>
      <c r="O3" s="5"/>
      <c r="P3" s="5"/>
      <c r="Q3" s="5"/>
      <c r="R3" s="5"/>
      <c r="S3" s="5"/>
      <c r="T3" s="5"/>
      <c r="U3" s="5"/>
      <c r="V3" s="5"/>
      <c r="W3" s="5"/>
      <c r="X3" s="5"/>
      <c r="Y3" s="5"/>
      <c r="Z3" s="5"/>
      <c r="AA3" s="5"/>
    </row>
    <row r="4">
      <c r="A4" s="7" t="s">
        <v>12</v>
      </c>
      <c r="B4" s="7" t="s">
        <v>114</v>
      </c>
      <c r="C4" s="67">
        <f t="shared" si="1"/>
        <v>5</v>
      </c>
      <c r="D4" s="17">
        <f t="shared" si="2"/>
        <v>0.1923076923</v>
      </c>
      <c r="E4" s="77">
        <v>1.593105081E9</v>
      </c>
      <c r="F4" s="68">
        <f>IFERROR(__xludf.DUMMYFUNCTION("INDEX(SPLIT(E4, char(10)), 0, 1)/86400+date(1970,1,1)"),44007.716215277775)</f>
        <v>44007.71622</v>
      </c>
      <c r="G4" s="46" t="s">
        <v>970</v>
      </c>
      <c r="H4" s="46" t="s">
        <v>971</v>
      </c>
      <c r="I4" s="46" t="s">
        <v>13</v>
      </c>
      <c r="J4" s="5"/>
      <c r="K4" s="5"/>
      <c r="L4" s="5"/>
      <c r="M4" s="5"/>
      <c r="N4" s="5"/>
      <c r="O4" s="5"/>
      <c r="P4" s="5"/>
      <c r="Q4" s="5"/>
      <c r="R4" s="5"/>
      <c r="S4" s="5"/>
      <c r="T4" s="5"/>
      <c r="U4" s="5"/>
      <c r="V4" s="5"/>
      <c r="W4" s="5"/>
      <c r="X4" s="5"/>
      <c r="Y4" s="5"/>
      <c r="Z4" s="5"/>
      <c r="AA4" s="5"/>
    </row>
    <row r="5">
      <c r="A5" s="7" t="s">
        <v>13</v>
      </c>
      <c r="B5" s="7" t="s">
        <v>117</v>
      </c>
      <c r="C5" s="67">
        <f t="shared" si="1"/>
        <v>10</v>
      </c>
      <c r="D5" s="17">
        <f t="shared" si="2"/>
        <v>0.3846153846</v>
      </c>
      <c r="E5" s="77">
        <v>1.593105282E9</v>
      </c>
      <c r="F5" s="68">
        <f>IFERROR(__xludf.DUMMYFUNCTION("INDEX(SPLIT(E5, char(10)), 0, 1)/86400+date(1970,1,1)"),44007.71854166666)</f>
        <v>44007.71854</v>
      </c>
      <c r="G5" s="46" t="s">
        <v>972</v>
      </c>
      <c r="H5" s="46" t="s">
        <v>973</v>
      </c>
      <c r="I5" s="46" t="s">
        <v>14</v>
      </c>
      <c r="J5" s="5"/>
      <c r="K5" s="5"/>
      <c r="L5" s="5"/>
      <c r="M5" s="5"/>
      <c r="N5" s="5"/>
      <c r="O5" s="5"/>
      <c r="P5" s="5"/>
      <c r="Q5" s="5"/>
      <c r="R5" s="5"/>
      <c r="S5" s="5"/>
      <c r="T5" s="5"/>
      <c r="U5" s="5"/>
      <c r="V5" s="5"/>
      <c r="W5" s="5"/>
      <c r="X5" s="5"/>
      <c r="Y5" s="5"/>
      <c r="Z5" s="5"/>
      <c r="AA5" s="5"/>
    </row>
    <row r="6">
      <c r="A6" s="7" t="s">
        <v>14</v>
      </c>
      <c r="B6" s="7" t="s">
        <v>120</v>
      </c>
      <c r="C6" s="67">
        <f t="shared" si="1"/>
        <v>8</v>
      </c>
      <c r="D6" s="17">
        <f t="shared" si="2"/>
        <v>0.3076923077</v>
      </c>
      <c r="E6" s="77">
        <v>1.593105386E9</v>
      </c>
      <c r="F6" s="68">
        <f>IFERROR(__xludf.DUMMYFUNCTION("INDEX(SPLIT(E6, char(10)), 0, 1)/86400+date(1970,1,1)"),44007.71974537037)</f>
        <v>44007.71975</v>
      </c>
      <c r="G6" s="46" t="s">
        <v>974</v>
      </c>
      <c r="H6" s="46" t="s">
        <v>975</v>
      </c>
      <c r="I6" s="46" t="s">
        <v>12</v>
      </c>
      <c r="J6" s="5"/>
      <c r="K6" s="5"/>
      <c r="L6" s="5"/>
      <c r="M6" s="5"/>
      <c r="N6" s="5"/>
      <c r="O6" s="5"/>
      <c r="P6" s="5"/>
      <c r="Q6" s="5"/>
      <c r="R6" s="5"/>
      <c r="S6" s="5"/>
      <c r="T6" s="5"/>
      <c r="U6" s="5"/>
      <c r="V6" s="5"/>
      <c r="W6" s="5"/>
      <c r="X6" s="5"/>
      <c r="Y6" s="5"/>
      <c r="Z6" s="5"/>
      <c r="AA6" s="5"/>
    </row>
    <row r="7">
      <c r="A7" s="5"/>
      <c r="B7" s="7" t="s">
        <v>10</v>
      </c>
      <c r="C7" s="23">
        <f t="shared" ref="C7:D7" si="3">SUM(C2:C6)</f>
        <v>26</v>
      </c>
      <c r="D7" s="70">
        <f t="shared" si="3"/>
        <v>1</v>
      </c>
      <c r="E7" s="77">
        <v>1.593105653E9</v>
      </c>
      <c r="F7" s="68">
        <f>IFERROR(__xludf.DUMMYFUNCTION("INDEX(SPLIT(E7, char(10)), 0, 1)/86400+date(1970,1,1)"),44007.72283564815)</f>
        <v>44007.72284</v>
      </c>
      <c r="G7" s="46" t="s">
        <v>976</v>
      </c>
      <c r="H7" s="46" t="s">
        <v>977</v>
      </c>
      <c r="I7" s="46" t="s">
        <v>13</v>
      </c>
      <c r="J7" s="5"/>
      <c r="K7" s="5"/>
      <c r="L7" s="5"/>
      <c r="M7" s="5"/>
      <c r="N7" s="5"/>
      <c r="O7" s="5"/>
      <c r="P7" s="5"/>
      <c r="Q7" s="5"/>
      <c r="R7" s="5"/>
      <c r="S7" s="5"/>
      <c r="T7" s="5"/>
      <c r="U7" s="5"/>
      <c r="V7" s="5"/>
      <c r="W7" s="5"/>
      <c r="X7" s="5"/>
      <c r="Y7" s="5"/>
      <c r="Z7" s="5"/>
      <c r="AA7" s="5"/>
    </row>
    <row r="8">
      <c r="A8" s="71"/>
      <c r="B8" s="7" t="s">
        <v>15</v>
      </c>
      <c r="C8" s="67">
        <f t="shared" ref="C8:D8" si="4">SUM(C5:C6)</f>
        <v>18</v>
      </c>
      <c r="D8" s="17">
        <f t="shared" si="4"/>
        <v>0.6923076923</v>
      </c>
      <c r="E8" s="77">
        <v>1.593105763E9</v>
      </c>
      <c r="F8" s="68">
        <f>IFERROR(__xludf.DUMMYFUNCTION("INDEX(SPLIT(E8, char(10)), 0, 1)/86400+date(1970,1,1)"),44007.7241087963)</f>
        <v>44007.72411</v>
      </c>
      <c r="G8" s="46" t="s">
        <v>978</v>
      </c>
      <c r="H8" s="46" t="s">
        <v>979</v>
      </c>
      <c r="I8" s="46" t="s">
        <v>12</v>
      </c>
      <c r="J8" s="5"/>
      <c r="K8" s="5"/>
      <c r="L8" s="5"/>
      <c r="M8" s="5"/>
      <c r="N8" s="5"/>
      <c r="O8" s="5"/>
      <c r="P8" s="5"/>
      <c r="Q8" s="5"/>
      <c r="R8" s="5"/>
      <c r="S8" s="5"/>
      <c r="T8" s="5"/>
      <c r="U8" s="5"/>
      <c r="V8" s="5"/>
      <c r="W8" s="5"/>
      <c r="X8" s="5"/>
      <c r="Y8" s="5"/>
      <c r="Z8" s="5"/>
      <c r="AA8" s="5"/>
    </row>
    <row r="9">
      <c r="A9" s="71"/>
      <c r="B9" s="7" t="s">
        <v>127</v>
      </c>
      <c r="C9" s="67">
        <f>SUM(C6:C7)</f>
        <v>34</v>
      </c>
      <c r="D9" s="17">
        <f>SUM(D5:D6) + D2</f>
        <v>0.7307692308</v>
      </c>
      <c r="E9" s="77">
        <v>1.593105894E9</v>
      </c>
      <c r="F9" s="68">
        <f>IFERROR(__xludf.DUMMYFUNCTION("INDEX(SPLIT(E9, char(10)), 0, 1)/86400+date(1970,1,1)"),44007.725625)</f>
        <v>44007.72563</v>
      </c>
      <c r="G9" s="46" t="s">
        <v>980</v>
      </c>
      <c r="H9" s="46" t="s">
        <v>981</v>
      </c>
      <c r="I9" s="46" t="s">
        <v>14</v>
      </c>
      <c r="J9" s="5"/>
      <c r="K9" s="5"/>
      <c r="L9" s="5"/>
      <c r="M9" s="5"/>
      <c r="N9" s="5"/>
      <c r="O9" s="5"/>
      <c r="P9" s="5"/>
      <c r="Q9" s="5"/>
      <c r="R9" s="5"/>
      <c r="S9" s="5"/>
      <c r="T9" s="5"/>
      <c r="U9" s="5"/>
      <c r="V9" s="5"/>
      <c r="W9" s="5"/>
      <c r="X9" s="5"/>
      <c r="Y9" s="5"/>
      <c r="Z9" s="5"/>
      <c r="AA9" s="5"/>
    </row>
    <row r="10">
      <c r="A10" s="71"/>
      <c r="B10" s="71"/>
      <c r="C10" s="71"/>
      <c r="D10" s="71"/>
      <c r="E10" s="77">
        <v>1.593106072E9</v>
      </c>
      <c r="F10" s="68">
        <f>IFERROR(__xludf.DUMMYFUNCTION("INDEX(SPLIT(E10, char(10)), 0, 1)/86400+date(1970,1,1)"),44007.727685185186)</f>
        <v>44007.72769</v>
      </c>
      <c r="G10" s="46" t="s">
        <v>982</v>
      </c>
      <c r="H10" s="46" t="s">
        <v>983</v>
      </c>
      <c r="I10" s="46" t="s">
        <v>14</v>
      </c>
      <c r="J10" s="5"/>
      <c r="K10" s="5"/>
      <c r="L10" s="5"/>
      <c r="M10" s="5"/>
      <c r="N10" s="5"/>
      <c r="O10" s="5"/>
      <c r="P10" s="5"/>
      <c r="Q10" s="5"/>
      <c r="R10" s="5"/>
      <c r="S10" s="5"/>
      <c r="T10" s="5"/>
      <c r="U10" s="5"/>
      <c r="V10" s="5"/>
      <c r="W10" s="5"/>
      <c r="X10" s="5"/>
      <c r="Y10" s="5"/>
      <c r="Z10" s="5"/>
      <c r="AA10" s="5"/>
    </row>
    <row r="11">
      <c r="A11" s="71"/>
      <c r="B11" s="71"/>
      <c r="C11" s="71"/>
      <c r="D11" s="71"/>
      <c r="E11" s="77">
        <v>1.59310702E9</v>
      </c>
      <c r="F11" s="68">
        <f>IFERROR(__xludf.DUMMYFUNCTION("INDEX(SPLIT(E11, char(10)), 0, 1)/86400+date(1970,1,1)"),44007.738657407404)</f>
        <v>44007.73866</v>
      </c>
      <c r="G11" s="46" t="s">
        <v>984</v>
      </c>
      <c r="H11" s="46" t="s">
        <v>985</v>
      </c>
      <c r="I11" s="46" t="s">
        <v>14</v>
      </c>
      <c r="J11" s="5"/>
      <c r="K11" s="5"/>
      <c r="L11" s="5"/>
      <c r="M11" s="5"/>
      <c r="N11" s="5"/>
      <c r="O11" s="5"/>
      <c r="P11" s="5"/>
      <c r="Q11" s="5"/>
      <c r="R11" s="5"/>
      <c r="S11" s="5"/>
      <c r="T11" s="5"/>
      <c r="U11" s="5"/>
      <c r="V11" s="5"/>
      <c r="W11" s="5"/>
      <c r="X11" s="5"/>
      <c r="Y11" s="5"/>
      <c r="Z11" s="5"/>
      <c r="AA11" s="5"/>
    </row>
    <row r="12">
      <c r="A12" s="1" t="s">
        <v>134</v>
      </c>
      <c r="B12" s="72" t="s">
        <v>986</v>
      </c>
      <c r="C12" s="71"/>
      <c r="D12" s="71"/>
      <c r="E12" s="77">
        <v>1.593107349E9</v>
      </c>
      <c r="F12" s="68">
        <f>IFERROR(__xludf.DUMMYFUNCTION("INDEX(SPLIT(E12, char(10)), 0, 1)/86400+date(1970,1,1)"),44007.74246527778)</f>
        <v>44007.74247</v>
      </c>
      <c r="G12" s="46" t="s">
        <v>562</v>
      </c>
      <c r="H12" s="46" t="s">
        <v>987</v>
      </c>
      <c r="I12" s="46" t="s">
        <v>13</v>
      </c>
      <c r="J12" s="5"/>
      <c r="K12" s="5"/>
      <c r="L12" s="5"/>
      <c r="M12" s="5"/>
      <c r="N12" s="5"/>
      <c r="O12" s="5"/>
      <c r="P12" s="5"/>
      <c r="Q12" s="5"/>
      <c r="R12" s="5"/>
      <c r="S12" s="5"/>
      <c r="T12" s="5"/>
      <c r="U12" s="5"/>
      <c r="V12" s="5"/>
      <c r="W12" s="5"/>
      <c r="X12" s="5"/>
      <c r="Y12" s="5"/>
      <c r="Z12" s="5"/>
      <c r="AA12" s="5"/>
    </row>
    <row r="13">
      <c r="A13" s="1" t="s">
        <v>138</v>
      </c>
      <c r="B13" s="71"/>
      <c r="C13" s="1" t="s">
        <v>101</v>
      </c>
      <c r="D13" s="1" t="s">
        <v>102</v>
      </c>
      <c r="E13" s="77">
        <v>1.593108225E9</v>
      </c>
      <c r="F13" s="68">
        <f>IFERROR(__xludf.DUMMYFUNCTION("INDEX(SPLIT(E13, char(10)), 0, 1)/86400+date(1970,1,1)"),44007.75260416667)</f>
        <v>44007.7526</v>
      </c>
      <c r="G13" s="46" t="s">
        <v>988</v>
      </c>
      <c r="H13" s="46" t="s">
        <v>989</v>
      </c>
      <c r="I13" s="46" t="s">
        <v>13</v>
      </c>
      <c r="J13" s="5"/>
      <c r="K13" s="5"/>
      <c r="L13" s="5"/>
      <c r="M13" s="5"/>
      <c r="N13" s="5"/>
      <c r="O13" s="5"/>
      <c r="P13" s="5"/>
      <c r="Q13" s="5"/>
      <c r="R13" s="5"/>
      <c r="S13" s="5"/>
      <c r="T13" s="5"/>
      <c r="U13" s="5"/>
      <c r="V13" s="5"/>
      <c r="W13" s="5"/>
      <c r="X13" s="5"/>
      <c r="Y13" s="5"/>
      <c r="Z13" s="5"/>
      <c r="AA13" s="5"/>
    </row>
    <row r="14">
      <c r="A14" s="7" t="s">
        <v>141</v>
      </c>
      <c r="B14" s="7" t="s">
        <v>142</v>
      </c>
      <c r="C14" s="23">
        <f t="shared" ref="C14:C17" si="5">COUNTIF($A$19:$A1000, A14)</f>
        <v>3</v>
      </c>
      <c r="D14" s="17">
        <f>IFERROR(__xludf.DUMMYFUNCTION("IF(C14, COUNTIF(FILTER($D$19:$D1000, $A$19:$A1000=A14), TRUE)/C14, 0)"),1.0)</f>
        <v>1</v>
      </c>
      <c r="E14" s="77">
        <v>1.593108444E9</v>
      </c>
      <c r="F14" s="68">
        <f>IFERROR(__xludf.DUMMYFUNCTION("INDEX(SPLIT(E14, char(10)), 0, 1)/86400+date(1970,1,1)"),44007.75513888889)</f>
        <v>44007.75514</v>
      </c>
      <c r="G14" s="46" t="s">
        <v>990</v>
      </c>
      <c r="H14" s="46" t="s">
        <v>991</v>
      </c>
      <c r="I14" s="46" t="s">
        <v>14</v>
      </c>
      <c r="J14" s="5"/>
      <c r="K14" s="5"/>
      <c r="L14" s="5"/>
      <c r="M14" s="5"/>
      <c r="N14" s="5"/>
      <c r="O14" s="5"/>
      <c r="P14" s="5"/>
      <c r="Q14" s="5"/>
      <c r="R14" s="5"/>
      <c r="S14" s="5"/>
      <c r="T14" s="5"/>
      <c r="U14" s="5"/>
      <c r="V14" s="5"/>
      <c r="W14" s="5"/>
      <c r="X14" s="5"/>
      <c r="Y14" s="5"/>
      <c r="Z14" s="5"/>
      <c r="AA14" s="5"/>
    </row>
    <row r="15">
      <c r="A15" s="7" t="s">
        <v>3</v>
      </c>
      <c r="B15" s="7" t="s">
        <v>145</v>
      </c>
      <c r="C15" s="23">
        <f t="shared" si="5"/>
        <v>3</v>
      </c>
      <c r="D15" s="17">
        <f>IFERROR(__xludf.DUMMYFUNCTION("IF(C15, COUNTIF(FILTER($D$19:$D1000, $A$19:$A1000=A15), TRUE)/C15, 0)"),0.6666666666666666)</f>
        <v>0.6666666667</v>
      </c>
      <c r="E15" s="77">
        <v>1.593109343E9</v>
      </c>
      <c r="F15" s="68">
        <f>IFERROR(__xludf.DUMMYFUNCTION("INDEX(SPLIT(E15, char(10)), 0, 1)/86400+date(1970,1,1)"),44007.765543981484)</f>
        <v>44007.76554</v>
      </c>
      <c r="G15" s="46" t="s">
        <v>992</v>
      </c>
      <c r="H15" s="46" t="s">
        <v>993</v>
      </c>
      <c r="I15" s="46" t="s">
        <v>13</v>
      </c>
      <c r="J15" s="5"/>
      <c r="K15" s="5"/>
      <c r="L15" s="5"/>
      <c r="M15" s="5"/>
      <c r="N15" s="5"/>
      <c r="O15" s="5"/>
      <c r="P15" s="5"/>
      <c r="Q15" s="5"/>
      <c r="R15" s="5"/>
      <c r="S15" s="5"/>
      <c r="T15" s="5"/>
      <c r="U15" s="5"/>
      <c r="V15" s="5"/>
      <c r="W15" s="5"/>
      <c r="X15" s="5"/>
      <c r="Y15" s="5"/>
      <c r="Z15" s="5"/>
      <c r="AA15" s="5"/>
    </row>
    <row r="16">
      <c r="A16" s="7" t="s">
        <v>4</v>
      </c>
      <c r="B16" s="7" t="s">
        <v>148</v>
      </c>
      <c r="C16" s="23">
        <f t="shared" si="5"/>
        <v>4</v>
      </c>
      <c r="D16" s="17">
        <f>IFERROR(__xludf.DUMMYFUNCTION("IF(C16, COUNTIF(FILTER($D$19:$D1000, $A$19:$A1000=A16), TRUE)/C16, 0)"),0.5)</f>
        <v>0.5</v>
      </c>
      <c r="E16" s="77">
        <v>1.593109523E9</v>
      </c>
      <c r="F16" s="68">
        <f>IFERROR(__xludf.DUMMYFUNCTION("INDEX(SPLIT(E16, char(10)), 0, 1)/86400+date(1970,1,1)"),44007.76762731481)</f>
        <v>44007.76763</v>
      </c>
      <c r="G16" s="46" t="s">
        <v>994</v>
      </c>
      <c r="H16" s="46" t="s">
        <v>995</v>
      </c>
      <c r="I16" s="46" t="s">
        <v>12</v>
      </c>
      <c r="J16" s="5"/>
      <c r="K16" s="5"/>
      <c r="L16" s="5"/>
      <c r="M16" s="5"/>
      <c r="N16" s="5"/>
      <c r="O16" s="5"/>
      <c r="P16" s="5"/>
      <c r="Q16" s="5"/>
      <c r="R16" s="5"/>
      <c r="S16" s="5"/>
      <c r="T16" s="5"/>
      <c r="U16" s="5"/>
      <c r="V16" s="5"/>
      <c r="W16" s="5"/>
      <c r="X16" s="5"/>
      <c r="Y16" s="5"/>
      <c r="Z16" s="5"/>
      <c r="AA16" s="5"/>
    </row>
    <row r="17">
      <c r="A17" s="7" t="s">
        <v>5</v>
      </c>
      <c r="B17" s="7" t="s">
        <v>151</v>
      </c>
      <c r="C17" s="23">
        <f t="shared" si="5"/>
        <v>8</v>
      </c>
      <c r="D17" s="17">
        <f>IFERROR(__xludf.DUMMYFUNCTION("IF(C17, COUNTIF(FILTER($D$19:$D1000, $A$19:$A1000=A17), TRUE)/C17, 0)"),0.5)</f>
        <v>0.5</v>
      </c>
      <c r="E17" s="77">
        <v>1.593109788E9</v>
      </c>
      <c r="F17" s="68">
        <f>IFERROR(__xludf.DUMMYFUNCTION("INDEX(SPLIT(E17, char(10)), 0, 1)/86400+date(1970,1,1)"),44007.77069444444)</f>
        <v>44007.77069</v>
      </c>
      <c r="G17" s="46" t="s">
        <v>996</v>
      </c>
      <c r="H17" s="46" t="s">
        <v>997</v>
      </c>
      <c r="I17" s="46" t="s">
        <v>14</v>
      </c>
      <c r="J17" s="5"/>
      <c r="K17" s="5"/>
      <c r="L17" s="5"/>
      <c r="M17" s="5"/>
      <c r="N17" s="5"/>
      <c r="O17" s="5"/>
      <c r="P17" s="5"/>
      <c r="Q17" s="5"/>
      <c r="R17" s="5"/>
      <c r="S17" s="5"/>
      <c r="T17" s="5"/>
      <c r="U17" s="5"/>
      <c r="V17" s="5"/>
      <c r="W17" s="5"/>
      <c r="X17" s="5"/>
      <c r="Y17" s="5"/>
      <c r="Z17" s="5"/>
      <c r="AA17" s="5"/>
    </row>
    <row r="18">
      <c r="A18" s="71"/>
      <c r="B18" s="1" t="s">
        <v>6</v>
      </c>
      <c r="C18" s="23">
        <f>SUM(C14:C17)</f>
        <v>18</v>
      </c>
      <c r="D18" s="17">
        <f>COUNTIF($D$19:$D1000, TRUE)/SUM($C$14:$C$17)</f>
        <v>0.6111111111</v>
      </c>
      <c r="E18" s="77">
        <v>1.593110159E9</v>
      </c>
      <c r="F18" s="68">
        <f>IFERROR(__xludf.DUMMYFUNCTION("INDEX(SPLIT(E18, char(10)), 0, 1)/86400+date(1970,1,1)"),44007.774988425925)</f>
        <v>44007.77499</v>
      </c>
      <c r="G18" s="46" t="s">
        <v>998</v>
      </c>
      <c r="H18" s="46" t="s">
        <v>999</v>
      </c>
      <c r="I18" s="46" t="s">
        <v>12</v>
      </c>
      <c r="J18" s="5"/>
      <c r="K18" s="5"/>
      <c r="L18" s="5"/>
      <c r="M18" s="5"/>
      <c r="N18" s="5"/>
      <c r="O18" s="5"/>
      <c r="P18" s="5"/>
      <c r="Q18" s="5"/>
      <c r="R18" s="5"/>
      <c r="S18" s="5"/>
      <c r="T18" s="5"/>
      <c r="U18" s="5"/>
      <c r="V18" s="5"/>
      <c r="W18" s="5"/>
      <c r="X18" s="5"/>
      <c r="Y18" s="5"/>
      <c r="Z18" s="5"/>
      <c r="AA18" s="5"/>
    </row>
    <row r="19">
      <c r="A19" s="7" t="s">
        <v>4</v>
      </c>
      <c r="B19" s="7" t="s">
        <v>161</v>
      </c>
      <c r="C19" s="67">
        <v>1.0</v>
      </c>
      <c r="D19" s="79" t="b">
        <v>0</v>
      </c>
      <c r="E19" s="77">
        <v>1.59311029E9</v>
      </c>
      <c r="F19" s="68">
        <f>IFERROR(__xludf.DUMMYFUNCTION("INDEX(SPLIT(E19, char(10)), 0, 1)/86400+date(1970,1,1)"),44007.776504629626)</f>
        <v>44007.7765</v>
      </c>
      <c r="G19" s="46" t="s">
        <v>1000</v>
      </c>
      <c r="H19" s="46" t="s">
        <v>1001</v>
      </c>
      <c r="I19" s="46" t="s">
        <v>14</v>
      </c>
      <c r="J19" s="5"/>
      <c r="K19" s="5"/>
      <c r="L19" s="5"/>
      <c r="M19" s="5"/>
      <c r="N19" s="5"/>
      <c r="O19" s="5"/>
      <c r="P19" s="5"/>
      <c r="Q19" s="5"/>
      <c r="R19" s="5"/>
      <c r="S19" s="5"/>
      <c r="T19" s="5"/>
      <c r="U19" s="5"/>
      <c r="V19" s="5"/>
      <c r="W19" s="5"/>
      <c r="X19" s="5"/>
      <c r="Y19" s="5"/>
      <c r="Z19" s="5"/>
      <c r="AA19" s="5"/>
    </row>
    <row r="20">
      <c r="A20" s="7" t="s">
        <v>141</v>
      </c>
      <c r="B20" s="7" t="s">
        <v>893</v>
      </c>
      <c r="C20" s="67">
        <v>8.0</v>
      </c>
      <c r="D20" s="79" t="b">
        <v>1</v>
      </c>
      <c r="E20" s="77">
        <v>1.593110399E9</v>
      </c>
      <c r="F20" s="68">
        <f>IFERROR(__xludf.DUMMYFUNCTION("INDEX(SPLIT(E20, char(10)), 0, 1)/86400+date(1970,1,1)"),44007.777766203704)</f>
        <v>44007.77777</v>
      </c>
      <c r="G20" s="46" t="s">
        <v>958</v>
      </c>
      <c r="H20" s="46" t="s">
        <v>1002</v>
      </c>
      <c r="I20" s="46" t="s">
        <v>13</v>
      </c>
      <c r="J20" s="5"/>
      <c r="K20" s="5"/>
      <c r="L20" s="5"/>
      <c r="M20" s="5"/>
      <c r="N20" s="5"/>
      <c r="O20" s="5"/>
      <c r="P20" s="5"/>
      <c r="Q20" s="5"/>
      <c r="R20" s="5"/>
      <c r="S20" s="5"/>
      <c r="T20" s="5"/>
      <c r="U20" s="5"/>
      <c r="V20" s="5"/>
      <c r="W20" s="5"/>
      <c r="X20" s="5"/>
      <c r="Y20" s="5"/>
      <c r="Z20" s="5"/>
      <c r="AA20" s="5"/>
    </row>
    <row r="21">
      <c r="A21" s="7" t="s">
        <v>3</v>
      </c>
      <c r="B21" s="7" t="s">
        <v>896</v>
      </c>
      <c r="C21" s="67">
        <v>11.0</v>
      </c>
      <c r="D21" s="79" t="b">
        <v>1</v>
      </c>
      <c r="E21" s="77">
        <v>1.593110548E9</v>
      </c>
      <c r="F21" s="68">
        <f>IFERROR(__xludf.DUMMYFUNCTION("INDEX(SPLIT(E21, char(10)), 0, 1)/86400+date(1970,1,1)"),44007.77949074074)</f>
        <v>44007.77949</v>
      </c>
      <c r="G21" s="46" t="s">
        <v>1003</v>
      </c>
      <c r="H21" s="46" t="s">
        <v>1004</v>
      </c>
      <c r="I21" s="46" t="s">
        <v>14</v>
      </c>
      <c r="J21" s="5"/>
      <c r="K21" s="5"/>
      <c r="L21" s="5"/>
      <c r="M21" s="5"/>
      <c r="N21" s="5"/>
      <c r="O21" s="5"/>
      <c r="P21" s="5"/>
      <c r="Q21" s="5"/>
      <c r="R21" s="5"/>
      <c r="S21" s="5"/>
      <c r="T21" s="5"/>
      <c r="U21" s="5"/>
      <c r="V21" s="5"/>
      <c r="W21" s="5"/>
      <c r="X21" s="5"/>
      <c r="Y21" s="5"/>
      <c r="Z21" s="5"/>
      <c r="AA21" s="5"/>
    </row>
    <row r="22">
      <c r="A22" s="7" t="s">
        <v>141</v>
      </c>
      <c r="B22" s="7" t="s">
        <v>899</v>
      </c>
      <c r="C22" s="67">
        <v>20.0</v>
      </c>
      <c r="D22" s="79" t="b">
        <v>1</v>
      </c>
      <c r="E22" s="77">
        <v>1.593110649E9</v>
      </c>
      <c r="F22" s="68">
        <f>IFERROR(__xludf.DUMMYFUNCTION("INDEX(SPLIT(E22, char(10)), 0, 1)/86400+date(1970,1,1)"),44007.78065972222)</f>
        <v>44007.78066</v>
      </c>
      <c r="G22" s="46" t="s">
        <v>1005</v>
      </c>
      <c r="H22" s="46" t="s">
        <v>1006</v>
      </c>
      <c r="I22" s="46" t="s">
        <v>13</v>
      </c>
      <c r="J22" s="5"/>
      <c r="K22" s="5"/>
      <c r="L22" s="5"/>
      <c r="M22" s="5"/>
      <c r="N22" s="5"/>
      <c r="O22" s="5"/>
      <c r="P22" s="5"/>
      <c r="Q22" s="5"/>
      <c r="R22" s="5"/>
      <c r="S22" s="5"/>
      <c r="T22" s="5"/>
      <c r="U22" s="5"/>
      <c r="V22" s="5"/>
      <c r="W22" s="5"/>
      <c r="X22" s="5"/>
      <c r="Y22" s="5"/>
      <c r="Z22" s="5"/>
      <c r="AA22" s="5"/>
    </row>
    <row r="23">
      <c r="A23" s="7" t="s">
        <v>4</v>
      </c>
      <c r="B23" s="7" t="s">
        <v>167</v>
      </c>
      <c r="C23" s="67">
        <v>45.0</v>
      </c>
      <c r="D23" s="79" t="b">
        <v>1</v>
      </c>
      <c r="E23" s="77">
        <v>1.593110749E9</v>
      </c>
      <c r="F23" s="68">
        <f>IFERROR(__xludf.DUMMYFUNCTION("INDEX(SPLIT(E23, char(10)), 0, 1)/86400+date(1970,1,1)"),44007.78181712963)</f>
        <v>44007.78182</v>
      </c>
      <c r="G23" s="46" t="s">
        <v>1007</v>
      </c>
      <c r="H23" s="46" t="s">
        <v>1008</v>
      </c>
      <c r="I23" s="46" t="s">
        <v>93</v>
      </c>
      <c r="J23" s="5"/>
      <c r="K23" s="5"/>
      <c r="L23" s="5"/>
      <c r="M23" s="5"/>
      <c r="N23" s="5"/>
      <c r="O23" s="5"/>
      <c r="P23" s="5"/>
      <c r="Q23" s="5"/>
      <c r="R23" s="5"/>
      <c r="S23" s="5"/>
      <c r="T23" s="5"/>
      <c r="U23" s="5"/>
      <c r="V23" s="5"/>
      <c r="W23" s="5"/>
      <c r="X23" s="5"/>
      <c r="Y23" s="5"/>
      <c r="Z23" s="5"/>
      <c r="AA23" s="5"/>
    </row>
    <row r="24">
      <c r="A24" s="7" t="s">
        <v>4</v>
      </c>
      <c r="B24" s="7" t="s">
        <v>170</v>
      </c>
      <c r="C24" s="67">
        <v>45.0</v>
      </c>
      <c r="D24" s="79" t="b">
        <v>0</v>
      </c>
      <c r="E24" s="77">
        <v>1.593110844E9</v>
      </c>
      <c r="F24" s="68">
        <f>IFERROR(__xludf.DUMMYFUNCTION("INDEX(SPLIT(E24, char(10)), 0, 1)/86400+date(1970,1,1)"),44007.78291666666)</f>
        <v>44007.78292</v>
      </c>
      <c r="G24" s="46" t="s">
        <v>1009</v>
      </c>
      <c r="H24" s="46" t="s">
        <v>1010</v>
      </c>
      <c r="I24" s="46" t="s">
        <v>13</v>
      </c>
      <c r="J24" s="5"/>
      <c r="K24" s="5"/>
      <c r="L24" s="5"/>
      <c r="M24" s="5"/>
      <c r="N24" s="5"/>
      <c r="O24" s="5"/>
      <c r="P24" s="5"/>
      <c r="Q24" s="5"/>
      <c r="R24" s="5"/>
      <c r="S24" s="5"/>
      <c r="T24" s="5"/>
      <c r="U24" s="5"/>
      <c r="V24" s="5"/>
      <c r="W24" s="5"/>
      <c r="X24" s="5"/>
      <c r="Y24" s="5"/>
      <c r="Z24" s="5"/>
      <c r="AA24" s="5"/>
    </row>
    <row r="25">
      <c r="A25" s="7" t="s">
        <v>5</v>
      </c>
      <c r="B25" s="71" t="s">
        <v>906</v>
      </c>
      <c r="C25" s="67">
        <v>46.0</v>
      </c>
      <c r="D25" s="79" t="b">
        <v>1</v>
      </c>
      <c r="E25" s="77">
        <v>1.593111036E9</v>
      </c>
      <c r="F25" s="68">
        <f>IFERROR(__xludf.DUMMYFUNCTION("INDEX(SPLIT(E25, char(10)), 0, 1)/86400+date(1970,1,1)"),44007.78513888889)</f>
        <v>44007.78514</v>
      </c>
      <c r="G25" s="46" t="s">
        <v>1011</v>
      </c>
      <c r="H25" s="46" t="s">
        <v>1012</v>
      </c>
      <c r="I25" s="46" t="s">
        <v>11</v>
      </c>
      <c r="J25" s="5"/>
      <c r="K25" s="5"/>
      <c r="L25" s="5"/>
      <c r="M25" s="5"/>
      <c r="N25" s="5"/>
      <c r="O25" s="5"/>
      <c r="P25" s="5"/>
      <c r="Q25" s="5"/>
      <c r="R25" s="5"/>
      <c r="S25" s="5"/>
      <c r="T25" s="5"/>
      <c r="U25" s="5"/>
      <c r="V25" s="5"/>
      <c r="W25" s="5"/>
      <c r="X25" s="5"/>
      <c r="Y25" s="5"/>
      <c r="Z25" s="5"/>
      <c r="AA25" s="5"/>
    </row>
    <row r="26">
      <c r="A26" s="7" t="s">
        <v>5</v>
      </c>
      <c r="B26" s="71" t="s">
        <v>908</v>
      </c>
      <c r="C26" s="67">
        <v>46.0</v>
      </c>
      <c r="D26" s="79" t="b">
        <v>0</v>
      </c>
      <c r="E26" s="77">
        <v>1.593111178E9</v>
      </c>
      <c r="F26" s="68">
        <f>IFERROR(__xludf.DUMMYFUNCTION("INDEX(SPLIT(E26, char(10)), 0, 1)/86400+date(1970,1,1)"),44007.786782407406)</f>
        <v>44007.78678</v>
      </c>
      <c r="G26" s="46" t="s">
        <v>1013</v>
      </c>
      <c r="H26" s="46" t="s">
        <v>1014</v>
      </c>
      <c r="I26" s="46" t="s">
        <v>12</v>
      </c>
      <c r="J26" s="5"/>
      <c r="K26" s="5"/>
      <c r="L26" s="5"/>
      <c r="M26" s="5"/>
      <c r="N26" s="5"/>
      <c r="O26" s="5"/>
      <c r="P26" s="5"/>
      <c r="Q26" s="5"/>
      <c r="R26" s="5"/>
      <c r="S26" s="5"/>
      <c r="T26" s="5"/>
      <c r="U26" s="5"/>
      <c r="V26" s="5"/>
      <c r="W26" s="5"/>
      <c r="X26" s="5"/>
      <c r="Y26" s="5"/>
      <c r="Z26" s="5"/>
      <c r="AA26" s="5"/>
    </row>
    <row r="27">
      <c r="A27" s="7" t="s">
        <v>3</v>
      </c>
      <c r="B27" s="71" t="s">
        <v>911</v>
      </c>
      <c r="C27" s="67">
        <v>47.0</v>
      </c>
      <c r="D27" s="79" t="b">
        <v>0</v>
      </c>
      <c r="E27" s="77">
        <v>1.593111429E9</v>
      </c>
      <c r="F27" s="68">
        <f>IFERROR(__xludf.DUMMYFUNCTION("INDEX(SPLIT(E27, char(10)), 0, 1)/86400+date(1970,1,1)"),44007.7896875)</f>
        <v>44007.78969</v>
      </c>
      <c r="G27" s="46" t="s">
        <v>1015</v>
      </c>
      <c r="H27" s="46" t="s">
        <v>1016</v>
      </c>
      <c r="I27" s="46" t="s">
        <v>13</v>
      </c>
      <c r="J27" s="5"/>
      <c r="K27" s="5"/>
      <c r="L27" s="5"/>
      <c r="M27" s="5"/>
      <c r="N27" s="5"/>
      <c r="O27" s="5"/>
      <c r="P27" s="5"/>
      <c r="Q27" s="5"/>
      <c r="R27" s="5"/>
      <c r="S27" s="5"/>
      <c r="T27" s="5"/>
      <c r="U27" s="5"/>
      <c r="V27" s="5"/>
      <c r="W27" s="5"/>
      <c r="X27" s="5"/>
      <c r="Y27" s="5"/>
      <c r="Z27" s="5"/>
      <c r="AA27" s="5"/>
    </row>
    <row r="28">
      <c r="A28" s="7" t="s">
        <v>5</v>
      </c>
      <c r="B28" s="71" t="s">
        <v>914</v>
      </c>
      <c r="C28" s="67">
        <v>64.0</v>
      </c>
      <c r="D28" s="79" t="b">
        <v>1</v>
      </c>
      <c r="E28" s="67"/>
      <c r="F28" s="68"/>
      <c r="G28" s="7"/>
      <c r="H28" s="46"/>
      <c r="I28" s="7"/>
      <c r="J28" s="5"/>
      <c r="K28" s="5"/>
      <c r="L28" s="5"/>
      <c r="M28" s="5"/>
      <c r="N28" s="5"/>
      <c r="O28" s="5"/>
      <c r="P28" s="5"/>
      <c r="Q28" s="5"/>
      <c r="R28" s="5"/>
      <c r="S28" s="5"/>
      <c r="T28" s="5"/>
      <c r="U28" s="5"/>
      <c r="V28" s="5"/>
      <c r="W28" s="5"/>
      <c r="X28" s="5"/>
      <c r="Y28" s="5"/>
      <c r="Z28" s="5"/>
      <c r="AA28" s="5"/>
    </row>
    <row r="29">
      <c r="A29" s="7" t="s">
        <v>5</v>
      </c>
      <c r="B29" s="71" t="s">
        <v>917</v>
      </c>
      <c r="C29" s="67">
        <v>70.0</v>
      </c>
      <c r="D29" s="79" t="b">
        <v>0</v>
      </c>
      <c r="E29" s="67"/>
      <c r="F29" s="68"/>
      <c r="G29" s="7"/>
      <c r="H29" s="46"/>
      <c r="I29" s="7"/>
      <c r="J29" s="5"/>
      <c r="K29" s="5"/>
      <c r="L29" s="5"/>
      <c r="M29" s="5"/>
      <c r="N29" s="5"/>
      <c r="O29" s="5"/>
      <c r="P29" s="5"/>
      <c r="Q29" s="5"/>
      <c r="R29" s="5"/>
      <c r="S29" s="5"/>
      <c r="T29" s="5"/>
      <c r="U29" s="5"/>
      <c r="V29" s="5"/>
      <c r="W29" s="5"/>
      <c r="X29" s="5"/>
      <c r="Y29" s="5"/>
      <c r="Z29" s="5"/>
      <c r="AA29" s="5"/>
    </row>
    <row r="30">
      <c r="A30" s="7" t="s">
        <v>5</v>
      </c>
      <c r="B30" s="71" t="s">
        <v>920</v>
      </c>
      <c r="C30" s="67">
        <v>79.0</v>
      </c>
      <c r="D30" s="79" t="b">
        <v>1</v>
      </c>
      <c r="E30" s="67"/>
      <c r="F30" s="68"/>
      <c r="G30" s="7"/>
      <c r="H30" s="46"/>
      <c r="I30" s="7"/>
      <c r="J30" s="5"/>
      <c r="K30" s="5"/>
      <c r="L30" s="5"/>
      <c r="M30" s="5"/>
      <c r="N30" s="5"/>
      <c r="O30" s="5"/>
      <c r="P30" s="5"/>
      <c r="Q30" s="5"/>
      <c r="R30" s="5"/>
      <c r="S30" s="5"/>
      <c r="T30" s="5"/>
      <c r="U30" s="5"/>
      <c r="V30" s="5"/>
      <c r="W30" s="5"/>
      <c r="X30" s="5"/>
      <c r="Y30" s="5"/>
      <c r="Z30" s="5"/>
      <c r="AA30" s="5"/>
    </row>
    <row r="31">
      <c r="A31" s="7" t="s">
        <v>5</v>
      </c>
      <c r="B31" s="71" t="s">
        <v>923</v>
      </c>
      <c r="C31" s="67">
        <v>80.0</v>
      </c>
      <c r="D31" s="79" t="b">
        <v>1</v>
      </c>
      <c r="E31" s="67"/>
      <c r="F31" s="68"/>
      <c r="G31" s="7"/>
      <c r="H31" s="46"/>
      <c r="I31" s="7"/>
      <c r="J31" s="5"/>
      <c r="K31" s="5"/>
      <c r="L31" s="5"/>
      <c r="M31" s="5"/>
      <c r="N31" s="5"/>
      <c r="O31" s="5"/>
      <c r="P31" s="5"/>
      <c r="Q31" s="5"/>
      <c r="R31" s="5"/>
      <c r="S31" s="5"/>
      <c r="T31" s="5"/>
      <c r="U31" s="5"/>
      <c r="V31" s="5"/>
      <c r="W31" s="5"/>
      <c r="X31" s="5"/>
      <c r="Y31" s="5"/>
      <c r="Z31" s="5"/>
      <c r="AA31" s="5"/>
    </row>
    <row r="32">
      <c r="A32" s="7" t="s">
        <v>3</v>
      </c>
      <c r="B32" s="71" t="s">
        <v>926</v>
      </c>
      <c r="C32" s="67">
        <v>85.0</v>
      </c>
      <c r="D32" s="79" t="b">
        <v>1</v>
      </c>
      <c r="E32" s="67"/>
      <c r="F32" s="68"/>
      <c r="G32" s="7"/>
      <c r="H32" s="46"/>
      <c r="I32" s="7"/>
      <c r="J32" s="5"/>
      <c r="K32" s="5"/>
      <c r="L32" s="5"/>
      <c r="M32" s="5"/>
      <c r="N32" s="5"/>
      <c r="O32" s="5"/>
      <c r="P32" s="5"/>
      <c r="Q32" s="5"/>
      <c r="R32" s="5"/>
      <c r="S32" s="5"/>
      <c r="T32" s="5"/>
      <c r="U32" s="5"/>
      <c r="V32" s="5"/>
      <c r="W32" s="5"/>
      <c r="X32" s="5"/>
      <c r="Y32" s="5"/>
      <c r="Z32" s="5"/>
      <c r="AA32" s="5"/>
    </row>
    <row r="33">
      <c r="A33" s="7" t="s">
        <v>141</v>
      </c>
      <c r="B33" s="71" t="s">
        <v>929</v>
      </c>
      <c r="C33" s="67">
        <v>86.0</v>
      </c>
      <c r="D33" s="79" t="b">
        <v>1</v>
      </c>
      <c r="E33" s="67"/>
      <c r="F33" s="68"/>
      <c r="G33" s="7"/>
      <c r="H33" s="46"/>
      <c r="I33" s="7"/>
      <c r="J33" s="5"/>
      <c r="K33" s="5"/>
      <c r="L33" s="5"/>
      <c r="M33" s="5"/>
      <c r="N33" s="5"/>
      <c r="O33" s="5"/>
      <c r="P33" s="5"/>
      <c r="Q33" s="5"/>
      <c r="R33" s="5"/>
      <c r="S33" s="5"/>
      <c r="T33" s="5"/>
      <c r="U33" s="5"/>
      <c r="V33" s="5"/>
      <c r="W33" s="5"/>
      <c r="X33" s="5"/>
      <c r="Y33" s="5"/>
      <c r="Z33" s="5"/>
      <c r="AA33" s="5"/>
    </row>
    <row r="34">
      <c r="A34" s="7" t="s">
        <v>5</v>
      </c>
      <c r="B34" s="71" t="s">
        <v>932</v>
      </c>
      <c r="C34" s="67">
        <v>90.0</v>
      </c>
      <c r="D34" s="79" t="b">
        <v>0</v>
      </c>
      <c r="E34" s="75"/>
      <c r="F34" s="68"/>
      <c r="G34" s="5"/>
      <c r="H34" s="46"/>
      <c r="I34" s="5"/>
      <c r="J34" s="5"/>
      <c r="K34" s="5"/>
      <c r="L34" s="5"/>
      <c r="M34" s="5"/>
      <c r="N34" s="5"/>
      <c r="O34" s="5"/>
      <c r="P34" s="5"/>
      <c r="Q34" s="5"/>
      <c r="R34" s="5"/>
      <c r="S34" s="5"/>
      <c r="T34" s="5"/>
      <c r="U34" s="5"/>
      <c r="V34" s="5"/>
      <c r="W34" s="5"/>
      <c r="X34" s="5"/>
      <c r="Y34" s="5"/>
      <c r="Z34" s="5"/>
      <c r="AA34" s="5"/>
    </row>
    <row r="35">
      <c r="A35" s="7" t="s">
        <v>5</v>
      </c>
      <c r="B35" s="71" t="s">
        <v>935</v>
      </c>
      <c r="C35" s="67">
        <v>90.0</v>
      </c>
      <c r="D35" s="79" t="b">
        <v>0</v>
      </c>
      <c r="E35" s="75"/>
      <c r="F35" s="68"/>
      <c r="G35" s="5"/>
      <c r="H35" s="46"/>
      <c r="I35" s="5"/>
      <c r="J35" s="5"/>
      <c r="K35" s="5"/>
      <c r="L35" s="5"/>
      <c r="M35" s="5"/>
      <c r="N35" s="5"/>
      <c r="O35" s="5"/>
      <c r="P35" s="5"/>
      <c r="Q35" s="5"/>
      <c r="R35" s="5"/>
      <c r="S35" s="5"/>
      <c r="T35" s="5"/>
      <c r="U35" s="5"/>
      <c r="V35" s="5"/>
      <c r="W35" s="5"/>
      <c r="X35" s="5"/>
      <c r="Y35" s="5"/>
      <c r="Z35" s="5"/>
      <c r="AA35" s="5"/>
    </row>
    <row r="36">
      <c r="A36" s="7" t="s">
        <v>4</v>
      </c>
      <c r="B36" s="71" t="s">
        <v>195</v>
      </c>
      <c r="C36" s="67">
        <v>90.0</v>
      </c>
      <c r="D36" s="79" t="b">
        <v>1</v>
      </c>
      <c r="E36" s="75"/>
      <c r="F36" s="68"/>
      <c r="G36" s="5"/>
      <c r="H36" s="46"/>
      <c r="I36" s="5"/>
      <c r="J36" s="5"/>
      <c r="K36" s="5"/>
      <c r="L36" s="5"/>
      <c r="M36" s="5"/>
      <c r="N36" s="5"/>
      <c r="O36" s="5"/>
      <c r="P36" s="5"/>
      <c r="Q36" s="5"/>
      <c r="R36" s="5"/>
      <c r="S36" s="5"/>
      <c r="T36" s="5"/>
      <c r="U36" s="5"/>
      <c r="V36" s="5"/>
      <c r="W36" s="5"/>
      <c r="X36" s="5"/>
      <c r="Y36" s="5"/>
      <c r="Z36" s="5"/>
      <c r="AA36" s="5"/>
    </row>
    <row r="37">
      <c r="A37" s="5"/>
      <c r="B37" s="71"/>
      <c r="C37" s="25"/>
      <c r="D37" s="5"/>
      <c r="E37" s="71"/>
      <c r="F37" s="76"/>
      <c r="G37" s="5"/>
      <c r="H37" s="46"/>
      <c r="I37" s="5"/>
      <c r="J37" s="5"/>
      <c r="K37" s="5"/>
      <c r="L37" s="5"/>
      <c r="M37" s="5"/>
      <c r="N37" s="5"/>
      <c r="O37" s="5"/>
      <c r="P37" s="5"/>
      <c r="Q37" s="5"/>
      <c r="R37" s="5"/>
      <c r="S37" s="5"/>
      <c r="T37" s="5"/>
      <c r="U37" s="5"/>
      <c r="V37" s="5"/>
      <c r="W37" s="5"/>
      <c r="X37" s="5"/>
      <c r="Y37" s="5"/>
      <c r="Z37" s="5"/>
      <c r="AA37" s="5"/>
    </row>
    <row r="38">
      <c r="A38" s="46"/>
      <c r="B38" s="46"/>
      <c r="C38" s="77"/>
      <c r="D38" s="5"/>
      <c r="E38" s="71"/>
      <c r="F38" s="76"/>
      <c r="G38" s="5"/>
      <c r="H38" s="46"/>
      <c r="I38" s="5"/>
      <c r="J38" s="5"/>
      <c r="K38" s="5"/>
      <c r="L38" s="5"/>
      <c r="M38" s="5"/>
      <c r="N38" s="5"/>
      <c r="O38" s="5"/>
      <c r="P38" s="5"/>
      <c r="Q38" s="5"/>
      <c r="R38" s="5"/>
      <c r="S38" s="5"/>
      <c r="T38" s="5"/>
      <c r="U38" s="5"/>
      <c r="V38" s="5"/>
      <c r="W38" s="5"/>
      <c r="X38" s="5"/>
      <c r="Y38" s="5"/>
      <c r="Z38" s="5"/>
      <c r="AA38" s="5"/>
    </row>
    <row r="39">
      <c r="A39" s="46"/>
      <c r="B39" s="46"/>
      <c r="C39" s="77"/>
      <c r="D39" s="5"/>
      <c r="E39" s="71"/>
      <c r="F39" s="76"/>
      <c r="G39" s="5"/>
      <c r="H39" s="46"/>
      <c r="I39" s="5"/>
      <c r="J39" s="5"/>
      <c r="K39" s="5"/>
      <c r="L39" s="5"/>
      <c r="M39" s="5"/>
      <c r="N39" s="5"/>
      <c r="O39" s="5"/>
      <c r="P39" s="5"/>
      <c r="Q39" s="5"/>
      <c r="R39" s="5"/>
      <c r="S39" s="5"/>
      <c r="T39" s="5"/>
      <c r="U39" s="5"/>
      <c r="V39" s="5"/>
      <c r="W39" s="5"/>
      <c r="X39" s="5"/>
      <c r="Y39" s="5"/>
      <c r="Z39" s="5"/>
      <c r="AA39" s="5"/>
    </row>
    <row r="40">
      <c r="A40" s="46"/>
      <c r="B40" s="46"/>
      <c r="C40" s="77"/>
      <c r="D40" s="5"/>
      <c r="E40" s="71"/>
      <c r="F40" s="76"/>
      <c r="G40" s="5"/>
      <c r="H40" s="46"/>
      <c r="I40" s="5"/>
      <c r="J40" s="5"/>
      <c r="K40" s="5"/>
      <c r="L40" s="5"/>
      <c r="M40" s="5"/>
      <c r="N40" s="5"/>
      <c r="O40" s="5"/>
      <c r="P40" s="5"/>
      <c r="Q40" s="5"/>
      <c r="R40" s="5"/>
      <c r="S40" s="5"/>
      <c r="T40" s="5"/>
      <c r="U40" s="5"/>
      <c r="V40" s="5"/>
      <c r="W40" s="5"/>
      <c r="X40" s="5"/>
      <c r="Y40" s="5"/>
      <c r="Z40" s="5"/>
      <c r="AA40" s="5"/>
    </row>
    <row r="41">
      <c r="A41" s="46"/>
      <c r="B41" s="46"/>
      <c r="C41" s="77"/>
      <c r="D41" s="5"/>
      <c r="E41" s="71"/>
      <c r="F41" s="76"/>
      <c r="G41" s="5"/>
      <c r="H41" s="46"/>
      <c r="I41" s="5"/>
      <c r="J41" s="5"/>
      <c r="K41" s="5"/>
      <c r="L41" s="5"/>
      <c r="M41" s="5"/>
      <c r="N41" s="5"/>
      <c r="O41" s="5"/>
      <c r="P41" s="5"/>
      <c r="Q41" s="5"/>
      <c r="R41" s="5"/>
      <c r="S41" s="5"/>
      <c r="T41" s="5"/>
      <c r="U41" s="5"/>
      <c r="V41" s="5"/>
      <c r="W41" s="5"/>
      <c r="X41" s="5"/>
      <c r="Y41" s="5"/>
      <c r="Z41" s="5"/>
      <c r="AA41" s="5"/>
    </row>
    <row r="42">
      <c r="A42" s="46"/>
      <c r="B42" s="46"/>
      <c r="C42" s="77"/>
      <c r="D42" s="5"/>
      <c r="E42" s="71"/>
      <c r="F42" s="76"/>
      <c r="G42" s="5"/>
      <c r="H42" s="46"/>
      <c r="I42" s="5"/>
      <c r="J42" s="5"/>
      <c r="K42" s="5"/>
      <c r="L42" s="5"/>
      <c r="M42" s="5"/>
      <c r="N42" s="5"/>
      <c r="O42" s="5"/>
      <c r="P42" s="5"/>
      <c r="Q42" s="5"/>
      <c r="R42" s="5"/>
      <c r="S42" s="5"/>
      <c r="T42" s="5"/>
      <c r="U42" s="5"/>
      <c r="V42" s="5"/>
      <c r="W42" s="5"/>
      <c r="X42" s="5"/>
      <c r="Y42" s="5"/>
      <c r="Z42" s="5"/>
      <c r="AA42" s="5"/>
    </row>
    <row r="43">
      <c r="A43" s="46"/>
      <c r="B43" s="46"/>
      <c r="C43" s="46"/>
      <c r="D43" s="71"/>
      <c r="E43" s="71"/>
      <c r="F43" s="76"/>
      <c r="G43" s="5"/>
      <c r="H43" s="46"/>
      <c r="I43" s="5"/>
      <c r="J43" s="5"/>
      <c r="K43" s="5"/>
      <c r="L43" s="5"/>
      <c r="M43" s="5"/>
      <c r="N43" s="5"/>
      <c r="O43" s="5"/>
      <c r="P43" s="5"/>
      <c r="Q43" s="5"/>
      <c r="R43" s="5"/>
      <c r="S43" s="5"/>
      <c r="T43" s="5"/>
      <c r="U43" s="5"/>
      <c r="V43" s="5"/>
      <c r="W43" s="5"/>
      <c r="X43" s="5"/>
      <c r="Y43" s="5"/>
      <c r="Z43" s="5"/>
      <c r="AA43" s="5"/>
    </row>
    <row r="44">
      <c r="A44" s="46"/>
      <c r="B44" s="46"/>
      <c r="C44" s="46"/>
      <c r="D44" s="5"/>
      <c r="E44" s="5"/>
      <c r="F44" s="76"/>
      <c r="G44" s="5"/>
      <c r="H44" s="46"/>
      <c r="I44" s="5"/>
      <c r="J44" s="5"/>
      <c r="K44" s="5"/>
      <c r="L44" s="5"/>
      <c r="M44" s="5"/>
      <c r="N44" s="5"/>
      <c r="O44" s="5"/>
      <c r="P44" s="5"/>
      <c r="Q44" s="5"/>
      <c r="R44" s="5"/>
      <c r="S44" s="5"/>
      <c r="T44" s="5"/>
      <c r="U44" s="5"/>
      <c r="V44" s="5"/>
      <c r="W44" s="5"/>
      <c r="X44" s="5"/>
      <c r="Y44" s="5"/>
      <c r="Z44" s="5"/>
      <c r="AA44" s="5"/>
    </row>
    <row r="45">
      <c r="A45" s="46"/>
      <c r="B45" s="46"/>
      <c r="C45" s="46"/>
      <c r="D45" s="5"/>
      <c r="E45" s="5"/>
      <c r="F45" s="76"/>
      <c r="G45" s="5"/>
      <c r="H45" s="46"/>
      <c r="I45" s="5"/>
      <c r="J45" s="5"/>
      <c r="K45" s="5"/>
      <c r="L45" s="5"/>
      <c r="M45" s="5"/>
      <c r="N45" s="5"/>
      <c r="O45" s="5"/>
      <c r="P45" s="5"/>
      <c r="Q45" s="5"/>
      <c r="R45" s="5"/>
      <c r="S45" s="5"/>
      <c r="T45" s="5"/>
      <c r="U45" s="5"/>
      <c r="V45" s="5"/>
      <c r="W45" s="5"/>
      <c r="X45" s="5"/>
      <c r="Y45" s="5"/>
      <c r="Z45" s="5"/>
      <c r="AA45" s="5"/>
    </row>
    <row r="46">
      <c r="A46" s="46"/>
      <c r="B46" s="46"/>
      <c r="C46" s="46"/>
      <c r="D46" s="5"/>
      <c r="E46" s="5"/>
      <c r="F46" s="76"/>
      <c r="G46" s="5"/>
      <c r="H46" s="46"/>
      <c r="I46" s="5"/>
      <c r="J46" s="5"/>
      <c r="K46" s="5"/>
      <c r="L46" s="5"/>
      <c r="M46" s="5"/>
      <c r="N46" s="5"/>
      <c r="O46" s="5"/>
      <c r="P46" s="5"/>
      <c r="Q46" s="5"/>
      <c r="R46" s="5"/>
      <c r="S46" s="5"/>
      <c r="T46" s="5"/>
      <c r="U46" s="5"/>
      <c r="V46" s="5"/>
      <c r="W46" s="5"/>
      <c r="X46" s="5"/>
      <c r="Y46" s="5"/>
      <c r="Z46" s="5"/>
      <c r="AA46" s="5"/>
    </row>
    <row r="47">
      <c r="A47" s="46"/>
      <c r="B47" s="46"/>
      <c r="C47" s="46"/>
      <c r="D47" s="5"/>
      <c r="E47" s="5"/>
      <c r="F47" s="76"/>
      <c r="G47" s="5"/>
      <c r="H47" s="46"/>
      <c r="I47" s="5"/>
      <c r="J47" s="5"/>
      <c r="K47" s="5"/>
      <c r="L47" s="5"/>
      <c r="M47" s="5"/>
      <c r="N47" s="5"/>
      <c r="O47" s="5"/>
      <c r="P47" s="5"/>
      <c r="Q47" s="5"/>
      <c r="R47" s="5"/>
      <c r="S47" s="5"/>
      <c r="T47" s="5"/>
      <c r="U47" s="5"/>
      <c r="V47" s="5"/>
      <c r="W47" s="5"/>
      <c r="X47" s="5"/>
      <c r="Y47" s="5"/>
      <c r="Z47" s="5"/>
      <c r="AA47" s="5"/>
    </row>
    <row r="48">
      <c r="A48" s="46"/>
      <c r="B48" s="46"/>
      <c r="C48" s="46"/>
      <c r="D48" s="5"/>
      <c r="E48" s="5"/>
      <c r="F48" s="76"/>
      <c r="G48" s="5"/>
      <c r="H48" s="46"/>
      <c r="I48" s="5"/>
      <c r="J48" s="5"/>
      <c r="K48" s="5"/>
      <c r="L48" s="5"/>
      <c r="M48" s="5"/>
      <c r="N48" s="5"/>
      <c r="O48" s="5"/>
      <c r="P48" s="5"/>
      <c r="Q48" s="5"/>
      <c r="R48" s="5"/>
      <c r="S48" s="5"/>
      <c r="T48" s="5"/>
      <c r="U48" s="5"/>
      <c r="V48" s="5"/>
      <c r="W48" s="5"/>
      <c r="X48" s="5"/>
      <c r="Y48" s="5"/>
      <c r="Z48" s="5"/>
      <c r="AA48" s="5"/>
    </row>
    <row r="49">
      <c r="A49" s="46"/>
      <c r="B49" s="46"/>
      <c r="C49" s="46"/>
      <c r="D49" s="5"/>
      <c r="E49" s="5"/>
      <c r="F49" s="76"/>
      <c r="G49" s="5"/>
      <c r="H49" s="46"/>
      <c r="I49" s="5"/>
      <c r="J49" s="5"/>
      <c r="K49" s="5"/>
      <c r="L49" s="5"/>
      <c r="M49" s="5"/>
      <c r="N49" s="5"/>
      <c r="O49" s="5"/>
      <c r="P49" s="5"/>
      <c r="Q49" s="5"/>
      <c r="R49" s="5"/>
      <c r="S49" s="5"/>
      <c r="T49" s="5"/>
      <c r="U49" s="5"/>
      <c r="V49" s="5"/>
      <c r="W49" s="5"/>
      <c r="X49" s="5"/>
      <c r="Y49" s="5"/>
      <c r="Z49" s="5"/>
      <c r="AA49" s="5"/>
    </row>
    <row r="50">
      <c r="A50" s="46"/>
      <c r="B50" s="46"/>
      <c r="C50" s="46"/>
      <c r="D50" s="5"/>
      <c r="E50" s="5"/>
      <c r="F50" s="76"/>
      <c r="G50" s="5"/>
      <c r="H50" s="46"/>
      <c r="I50" s="5"/>
      <c r="J50" s="5"/>
      <c r="K50" s="5"/>
      <c r="L50" s="5"/>
      <c r="M50" s="5"/>
      <c r="N50" s="5"/>
      <c r="O50" s="5"/>
      <c r="P50" s="5"/>
      <c r="Q50" s="5"/>
      <c r="R50" s="5"/>
      <c r="S50" s="5"/>
      <c r="T50" s="5"/>
      <c r="U50" s="5"/>
      <c r="V50" s="5"/>
      <c r="W50" s="5"/>
      <c r="X50" s="5"/>
      <c r="Y50" s="5"/>
      <c r="Z50" s="5"/>
      <c r="AA50" s="5"/>
    </row>
    <row r="51">
      <c r="A51" s="46"/>
      <c r="B51" s="46"/>
      <c r="C51" s="46"/>
      <c r="D51" s="5"/>
      <c r="E51" s="5"/>
      <c r="F51" s="76"/>
      <c r="G51" s="5"/>
      <c r="H51" s="46"/>
      <c r="I51" s="5"/>
      <c r="J51" s="5"/>
      <c r="K51" s="5"/>
      <c r="L51" s="5"/>
      <c r="M51" s="5"/>
      <c r="N51" s="5"/>
      <c r="O51" s="5"/>
      <c r="P51" s="5"/>
      <c r="Q51" s="5"/>
      <c r="R51" s="5"/>
      <c r="S51" s="5"/>
      <c r="T51" s="5"/>
      <c r="U51" s="5"/>
      <c r="V51" s="5"/>
      <c r="W51" s="5"/>
      <c r="X51" s="5"/>
      <c r="Y51" s="5"/>
      <c r="Z51" s="5"/>
      <c r="AA51" s="5"/>
    </row>
    <row r="52">
      <c r="A52" s="46"/>
      <c r="B52" s="46"/>
      <c r="C52" s="46"/>
      <c r="D52" s="5"/>
      <c r="E52" s="5"/>
      <c r="F52" s="76"/>
      <c r="G52" s="5"/>
      <c r="H52" s="46"/>
      <c r="I52" s="5"/>
      <c r="J52" s="5"/>
      <c r="K52" s="5"/>
      <c r="L52" s="5"/>
      <c r="M52" s="5"/>
      <c r="N52" s="5"/>
      <c r="O52" s="5"/>
      <c r="P52" s="5"/>
      <c r="Q52" s="5"/>
      <c r="R52" s="5"/>
      <c r="S52" s="5"/>
      <c r="T52" s="5"/>
      <c r="U52" s="5"/>
      <c r="V52" s="5"/>
      <c r="W52" s="5"/>
      <c r="X52" s="5"/>
      <c r="Y52" s="5"/>
      <c r="Z52" s="5"/>
      <c r="AA52" s="5"/>
    </row>
    <row r="53">
      <c r="A53" s="46"/>
      <c r="B53" s="46"/>
      <c r="C53" s="46"/>
      <c r="D53" s="5"/>
      <c r="E53" s="5"/>
      <c r="F53" s="76"/>
      <c r="G53" s="5"/>
      <c r="H53" s="46"/>
      <c r="I53" s="5"/>
      <c r="J53" s="5"/>
      <c r="K53" s="5"/>
      <c r="L53" s="5"/>
      <c r="M53" s="5"/>
      <c r="N53" s="5"/>
      <c r="O53" s="5"/>
      <c r="P53" s="5"/>
      <c r="Q53" s="5"/>
      <c r="R53" s="5"/>
      <c r="S53" s="5"/>
      <c r="T53" s="5"/>
      <c r="U53" s="5"/>
      <c r="V53" s="5"/>
      <c r="W53" s="5"/>
      <c r="X53" s="5"/>
      <c r="Y53" s="5"/>
      <c r="Z53" s="5"/>
      <c r="AA53" s="5"/>
    </row>
    <row r="54">
      <c r="A54" s="46"/>
      <c r="B54" s="46"/>
      <c r="C54" s="46"/>
      <c r="D54" s="5"/>
      <c r="E54" s="5"/>
      <c r="F54" s="76"/>
      <c r="G54" s="5"/>
      <c r="H54" s="46"/>
      <c r="I54" s="5"/>
      <c r="J54" s="5"/>
      <c r="K54" s="5"/>
      <c r="L54" s="5"/>
      <c r="M54" s="5"/>
      <c r="N54" s="5"/>
      <c r="O54" s="5"/>
      <c r="P54" s="5"/>
      <c r="Q54" s="5"/>
      <c r="R54" s="5"/>
      <c r="S54" s="5"/>
      <c r="T54" s="5"/>
      <c r="U54" s="5"/>
      <c r="V54" s="5"/>
      <c r="W54" s="5"/>
      <c r="X54" s="5"/>
      <c r="Y54" s="5"/>
      <c r="Z54" s="5"/>
      <c r="AA54" s="5"/>
    </row>
    <row r="55">
      <c r="A55" s="46"/>
      <c r="B55" s="46"/>
      <c r="C55" s="46"/>
      <c r="D55" s="5"/>
      <c r="E55" s="5"/>
      <c r="F55" s="76"/>
      <c r="G55" s="5"/>
      <c r="H55" s="46"/>
      <c r="I55" s="5"/>
      <c r="J55" s="5"/>
      <c r="K55" s="5"/>
      <c r="L55" s="5"/>
      <c r="M55" s="5"/>
      <c r="N55" s="5"/>
      <c r="O55" s="5"/>
      <c r="P55" s="5"/>
      <c r="Q55" s="5"/>
      <c r="R55" s="5"/>
      <c r="S55" s="5"/>
      <c r="T55" s="5"/>
      <c r="U55" s="5"/>
      <c r="V55" s="5"/>
      <c r="W55" s="5"/>
      <c r="X55" s="5"/>
      <c r="Y55" s="5"/>
      <c r="Z55" s="5"/>
      <c r="AA55" s="5"/>
    </row>
    <row r="56">
      <c r="A56" s="46"/>
      <c r="B56" s="46"/>
      <c r="C56" s="46"/>
      <c r="D56" s="5"/>
      <c r="E56" s="5"/>
      <c r="F56" s="76"/>
      <c r="G56" s="5"/>
      <c r="H56" s="46"/>
      <c r="I56" s="5"/>
      <c r="J56" s="5"/>
      <c r="K56" s="5"/>
      <c r="L56" s="5"/>
      <c r="M56" s="5"/>
      <c r="N56" s="5"/>
      <c r="O56" s="5"/>
      <c r="P56" s="5"/>
      <c r="Q56" s="5"/>
      <c r="R56" s="5"/>
      <c r="S56" s="5"/>
      <c r="T56" s="5"/>
      <c r="U56" s="5"/>
      <c r="V56" s="5"/>
      <c r="W56" s="5"/>
      <c r="X56" s="5"/>
      <c r="Y56" s="5"/>
      <c r="Z56" s="5"/>
      <c r="AA56" s="5"/>
    </row>
    <row r="57">
      <c r="A57" s="46"/>
      <c r="B57" s="46"/>
      <c r="C57" s="46"/>
      <c r="D57" s="5"/>
      <c r="E57" s="5"/>
      <c r="F57" s="76"/>
      <c r="G57" s="5"/>
      <c r="H57" s="46"/>
      <c r="I57" s="5"/>
      <c r="J57" s="5"/>
      <c r="K57" s="5"/>
      <c r="L57" s="5"/>
      <c r="M57" s="5"/>
      <c r="N57" s="5"/>
      <c r="O57" s="5"/>
      <c r="P57" s="5"/>
      <c r="Q57" s="5"/>
      <c r="R57" s="5"/>
      <c r="S57" s="5"/>
      <c r="T57" s="5"/>
      <c r="U57" s="5"/>
      <c r="V57" s="5"/>
      <c r="W57" s="5"/>
      <c r="X57" s="5"/>
      <c r="Y57" s="5"/>
      <c r="Z57" s="5"/>
      <c r="AA57" s="5"/>
    </row>
    <row r="58">
      <c r="A58" s="46"/>
      <c r="B58" s="46"/>
      <c r="C58" s="46"/>
      <c r="D58" s="5"/>
      <c r="E58" s="5"/>
      <c r="F58" s="76"/>
      <c r="G58" s="5"/>
      <c r="H58" s="46"/>
      <c r="I58" s="5"/>
      <c r="J58" s="5"/>
      <c r="K58" s="5"/>
      <c r="L58" s="5"/>
      <c r="M58" s="5"/>
      <c r="N58" s="5"/>
      <c r="O58" s="5"/>
      <c r="P58" s="5"/>
      <c r="Q58" s="5"/>
      <c r="R58" s="5"/>
      <c r="S58" s="5"/>
      <c r="T58" s="5"/>
      <c r="U58" s="5"/>
      <c r="V58" s="5"/>
      <c r="W58" s="5"/>
      <c r="X58" s="5"/>
      <c r="Y58" s="5"/>
      <c r="Z58" s="5"/>
      <c r="AA58" s="5"/>
    </row>
    <row r="59">
      <c r="A59" s="46"/>
      <c r="B59" s="46"/>
      <c r="C59" s="46"/>
      <c r="D59" s="5"/>
      <c r="E59" s="5"/>
      <c r="F59" s="76"/>
      <c r="G59" s="5"/>
      <c r="H59" s="46"/>
      <c r="I59" s="5"/>
      <c r="J59" s="5"/>
      <c r="K59" s="5"/>
      <c r="L59" s="5"/>
      <c r="M59" s="5"/>
      <c r="N59" s="5"/>
      <c r="O59" s="5"/>
      <c r="P59" s="5"/>
      <c r="Q59" s="5"/>
      <c r="R59" s="5"/>
      <c r="S59" s="5"/>
      <c r="T59" s="5"/>
      <c r="U59" s="5"/>
      <c r="V59" s="5"/>
      <c r="W59" s="5"/>
      <c r="X59" s="5"/>
      <c r="Y59" s="5"/>
      <c r="Z59" s="5"/>
      <c r="AA59" s="5"/>
    </row>
    <row r="60">
      <c r="A60" s="46"/>
      <c r="B60" s="46"/>
      <c r="C60" s="46"/>
      <c r="D60" s="5"/>
      <c r="E60" s="5"/>
      <c r="F60" s="76"/>
      <c r="G60" s="5"/>
      <c r="H60" s="46"/>
      <c r="I60" s="5"/>
      <c r="J60" s="5"/>
      <c r="K60" s="5"/>
      <c r="L60" s="5"/>
      <c r="M60" s="5"/>
      <c r="N60" s="5"/>
      <c r="O60" s="5"/>
      <c r="P60" s="5"/>
      <c r="Q60" s="5"/>
      <c r="R60" s="5"/>
      <c r="S60" s="5"/>
      <c r="T60" s="5"/>
      <c r="U60" s="5"/>
      <c r="V60" s="5"/>
      <c r="W60" s="5"/>
      <c r="X60" s="5"/>
      <c r="Y60" s="5"/>
      <c r="Z60" s="5"/>
      <c r="AA60" s="5"/>
    </row>
    <row r="61">
      <c r="A61" s="46"/>
      <c r="B61" s="46"/>
      <c r="C61" s="46"/>
      <c r="D61" s="5"/>
      <c r="E61" s="5"/>
      <c r="F61" s="76"/>
      <c r="G61" s="5"/>
      <c r="H61" s="46"/>
      <c r="I61" s="5"/>
      <c r="J61" s="5"/>
      <c r="K61" s="5"/>
      <c r="L61" s="5"/>
      <c r="M61" s="5"/>
      <c r="N61" s="5"/>
      <c r="O61" s="5"/>
      <c r="P61" s="5"/>
      <c r="Q61" s="5"/>
      <c r="R61" s="5"/>
      <c r="S61" s="5"/>
      <c r="T61" s="5"/>
      <c r="U61" s="5"/>
      <c r="V61" s="5"/>
      <c r="W61" s="5"/>
      <c r="X61" s="5"/>
      <c r="Y61" s="5"/>
      <c r="Z61" s="5"/>
      <c r="AA61" s="5"/>
    </row>
    <row r="62">
      <c r="A62" s="46"/>
      <c r="B62" s="46"/>
      <c r="C62" s="46"/>
      <c r="D62" s="5"/>
      <c r="E62" s="5"/>
      <c r="F62" s="76"/>
      <c r="G62" s="5"/>
      <c r="H62" s="46"/>
      <c r="I62" s="5"/>
      <c r="J62" s="5"/>
      <c r="K62" s="5"/>
      <c r="L62" s="5"/>
      <c r="M62" s="5"/>
      <c r="N62" s="5"/>
      <c r="O62" s="5"/>
      <c r="P62" s="5"/>
      <c r="Q62" s="5"/>
      <c r="R62" s="5"/>
      <c r="S62" s="5"/>
      <c r="T62" s="5"/>
      <c r="U62" s="5"/>
      <c r="V62" s="5"/>
      <c r="W62" s="5"/>
      <c r="X62" s="5"/>
      <c r="Y62" s="5"/>
      <c r="Z62" s="5"/>
      <c r="AA62" s="5"/>
    </row>
    <row r="63">
      <c r="A63" s="46"/>
      <c r="B63" s="46"/>
      <c r="C63" s="46"/>
      <c r="D63" s="5"/>
      <c r="E63" s="5"/>
      <c r="F63" s="76"/>
      <c r="G63" s="5"/>
      <c r="H63" s="46"/>
      <c r="I63" s="5"/>
      <c r="J63" s="5"/>
      <c r="K63" s="5"/>
      <c r="L63" s="5"/>
      <c r="M63" s="5"/>
      <c r="N63" s="5"/>
      <c r="O63" s="5"/>
      <c r="P63" s="5"/>
      <c r="Q63" s="5"/>
      <c r="R63" s="5"/>
      <c r="S63" s="5"/>
      <c r="T63" s="5"/>
      <c r="U63" s="5"/>
      <c r="V63" s="5"/>
      <c r="W63" s="5"/>
      <c r="X63" s="5"/>
      <c r="Y63" s="5"/>
      <c r="Z63" s="5"/>
      <c r="AA63" s="5"/>
    </row>
    <row r="64">
      <c r="A64" s="46"/>
      <c r="B64" s="46"/>
      <c r="C64" s="46"/>
      <c r="D64" s="5"/>
      <c r="E64" s="5"/>
      <c r="F64" s="76"/>
      <c r="G64" s="5"/>
      <c r="H64" s="46"/>
      <c r="I64" s="5"/>
      <c r="J64" s="5"/>
      <c r="K64" s="5"/>
      <c r="L64" s="5"/>
      <c r="M64" s="5"/>
      <c r="N64" s="5"/>
      <c r="O64" s="5"/>
      <c r="P64" s="5"/>
      <c r="Q64" s="5"/>
      <c r="R64" s="5"/>
      <c r="S64" s="5"/>
      <c r="T64" s="5"/>
      <c r="U64" s="5"/>
      <c r="V64" s="5"/>
      <c r="W64" s="5"/>
      <c r="X64" s="5"/>
      <c r="Y64" s="5"/>
      <c r="Z64" s="5"/>
      <c r="AA64" s="5"/>
    </row>
    <row r="65">
      <c r="A65" s="46"/>
      <c r="B65" s="46"/>
      <c r="C65" s="46"/>
      <c r="D65" s="5"/>
      <c r="E65" s="5"/>
      <c r="F65" s="76"/>
      <c r="G65" s="5"/>
      <c r="H65" s="46"/>
      <c r="I65" s="5"/>
      <c r="J65" s="5"/>
      <c r="K65" s="5"/>
      <c r="L65" s="5"/>
      <c r="M65" s="5"/>
      <c r="N65" s="5"/>
      <c r="O65" s="5"/>
      <c r="P65" s="5"/>
      <c r="Q65" s="5"/>
      <c r="R65" s="5"/>
      <c r="S65" s="5"/>
      <c r="T65" s="5"/>
      <c r="U65" s="5"/>
      <c r="V65" s="5"/>
      <c r="W65" s="5"/>
      <c r="X65" s="5"/>
      <c r="Y65" s="5"/>
      <c r="Z65" s="5"/>
      <c r="AA65" s="5"/>
    </row>
    <row r="66">
      <c r="A66" s="46"/>
      <c r="B66" s="46"/>
      <c r="C66" s="46"/>
      <c r="D66" s="5"/>
      <c r="E66" s="5"/>
      <c r="F66" s="76"/>
      <c r="G66" s="5"/>
      <c r="H66" s="46"/>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46"/>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46"/>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46"/>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46"/>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46"/>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46"/>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46"/>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46"/>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46"/>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46"/>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46"/>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46"/>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46"/>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46"/>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46"/>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46"/>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46"/>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46"/>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46"/>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46"/>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46"/>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46"/>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46"/>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46"/>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46"/>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46"/>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46"/>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46"/>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46"/>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46"/>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46"/>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46"/>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46"/>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46"/>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46"/>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46"/>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46"/>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46"/>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46"/>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46"/>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46"/>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46"/>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46"/>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46"/>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46"/>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46"/>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46"/>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46"/>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46"/>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46"/>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46"/>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46"/>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46"/>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46"/>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46"/>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46"/>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46"/>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46"/>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46"/>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46"/>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46"/>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46"/>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46"/>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46"/>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46"/>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46"/>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46"/>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46"/>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46"/>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46"/>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46"/>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46"/>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46"/>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46"/>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46"/>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46"/>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46"/>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46"/>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46"/>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46"/>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46"/>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46"/>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46"/>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46"/>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46"/>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46"/>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46"/>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46"/>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46"/>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46"/>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46"/>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46"/>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46"/>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46"/>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46"/>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46"/>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46"/>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46"/>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46"/>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46"/>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46"/>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46"/>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46"/>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46"/>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46"/>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46"/>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46"/>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46"/>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46"/>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46"/>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46"/>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46"/>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46"/>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46"/>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46"/>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46"/>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46"/>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46"/>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46"/>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46"/>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46"/>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46"/>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46"/>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46"/>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46"/>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46"/>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46"/>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46"/>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46"/>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46"/>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46"/>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46"/>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46"/>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46"/>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46"/>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46"/>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46"/>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46"/>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46"/>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46"/>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46"/>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46"/>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46"/>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46"/>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46"/>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46"/>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46"/>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46"/>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46"/>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46"/>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46"/>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46"/>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46"/>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46"/>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46"/>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46"/>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46"/>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46"/>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46"/>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46"/>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46"/>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46"/>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46"/>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46"/>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46"/>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46"/>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46"/>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46"/>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46"/>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46"/>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46"/>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46"/>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46"/>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46"/>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46"/>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46"/>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46"/>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46"/>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46"/>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46"/>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46"/>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46"/>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46"/>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46"/>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46"/>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46"/>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46"/>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46"/>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46"/>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46"/>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46"/>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46"/>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46"/>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46"/>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46"/>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46"/>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46"/>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46"/>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46"/>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46"/>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46"/>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46"/>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46"/>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46"/>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46"/>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46"/>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46"/>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46"/>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46"/>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46"/>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46"/>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46"/>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46"/>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46"/>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46"/>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46"/>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46"/>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46"/>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46"/>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46"/>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46"/>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46"/>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46"/>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46"/>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46"/>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46"/>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46"/>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46"/>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46"/>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46"/>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46"/>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46"/>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46"/>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46"/>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46"/>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46"/>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46"/>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46"/>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46"/>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46"/>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46"/>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46"/>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46"/>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46"/>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46"/>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46"/>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46"/>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46"/>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46"/>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46"/>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46"/>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46"/>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46"/>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46"/>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46"/>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46"/>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46"/>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46"/>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46"/>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46"/>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46"/>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46"/>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46"/>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46"/>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46"/>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46"/>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46"/>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46"/>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46"/>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46"/>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46"/>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46"/>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46"/>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46"/>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46"/>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46"/>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46"/>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46"/>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46"/>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46"/>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46"/>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46"/>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46"/>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46"/>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46"/>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46"/>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46"/>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46"/>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46"/>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46"/>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46"/>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46"/>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46"/>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46"/>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46"/>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46"/>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46"/>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46"/>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46"/>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46"/>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46"/>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46"/>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46"/>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46"/>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46"/>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46"/>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46"/>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46"/>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46"/>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46"/>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46"/>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46"/>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46"/>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46"/>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46"/>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46"/>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46"/>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46"/>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46"/>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46"/>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46"/>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46"/>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46"/>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46"/>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46"/>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46"/>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46"/>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46"/>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46"/>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46"/>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46"/>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46"/>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46"/>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46"/>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46"/>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46"/>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46"/>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46"/>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46"/>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46"/>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46"/>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46"/>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46"/>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46"/>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46"/>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46"/>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46"/>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46"/>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46"/>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46"/>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46"/>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46"/>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46"/>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46"/>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46"/>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46"/>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46"/>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46"/>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46"/>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46"/>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46"/>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46"/>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46"/>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46"/>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46"/>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46"/>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46"/>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46"/>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46"/>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46"/>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46"/>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46"/>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46"/>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46"/>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46"/>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46"/>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46"/>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46"/>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46"/>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46"/>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46"/>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46"/>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46"/>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46"/>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46"/>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46"/>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46"/>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46"/>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46"/>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46"/>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46"/>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46"/>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46"/>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46"/>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46"/>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46"/>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46"/>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46"/>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46"/>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46"/>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46"/>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46"/>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46"/>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46"/>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46"/>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46"/>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46"/>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46"/>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46"/>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46"/>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46"/>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46"/>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46"/>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46"/>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46"/>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46"/>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46"/>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46"/>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46"/>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46"/>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46"/>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46"/>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46"/>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46"/>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46"/>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46"/>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46"/>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46"/>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46"/>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46"/>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46"/>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46"/>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46"/>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46"/>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46"/>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46"/>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46"/>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46"/>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46"/>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46"/>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46"/>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46"/>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46"/>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46"/>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46"/>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46"/>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46"/>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46"/>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46"/>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46"/>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46"/>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46"/>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46"/>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46"/>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46"/>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46"/>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46"/>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46"/>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46"/>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46"/>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46"/>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46"/>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46"/>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46"/>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46"/>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46"/>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46"/>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46"/>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46"/>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46"/>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46"/>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46"/>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46"/>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46"/>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46"/>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46"/>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46"/>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46"/>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46"/>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46"/>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46"/>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46"/>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46"/>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46"/>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46"/>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46"/>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46"/>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46"/>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46"/>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46"/>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46"/>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46"/>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46"/>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46"/>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46"/>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46"/>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46"/>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46"/>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46"/>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46"/>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46"/>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46"/>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46"/>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46"/>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46"/>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46"/>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46"/>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46"/>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46"/>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46"/>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46"/>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46"/>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46"/>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46"/>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46"/>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46"/>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46"/>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46"/>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46"/>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46"/>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46"/>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46"/>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46"/>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46"/>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46"/>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46"/>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46"/>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46"/>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46"/>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46"/>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46"/>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46"/>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46"/>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46"/>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46"/>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46"/>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46"/>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46"/>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46"/>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46"/>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46"/>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46"/>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46"/>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46"/>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46"/>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46"/>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46"/>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46"/>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46"/>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46"/>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46"/>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46"/>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46"/>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46"/>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46"/>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46"/>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46"/>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46"/>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46"/>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46"/>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46"/>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46"/>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46"/>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46"/>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46"/>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46"/>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46"/>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46"/>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46"/>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46"/>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46"/>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46"/>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46"/>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46"/>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46"/>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46"/>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46"/>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46"/>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46"/>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46"/>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46"/>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46"/>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46"/>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46"/>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46"/>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46"/>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46"/>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46"/>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46"/>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46"/>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46"/>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46"/>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46"/>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46"/>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46"/>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46"/>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46"/>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46"/>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46"/>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46"/>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46"/>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46"/>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46"/>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46"/>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46"/>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46"/>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46"/>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46"/>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46"/>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46"/>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46"/>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46"/>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46"/>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46"/>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46"/>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46"/>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46"/>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46"/>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46"/>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46"/>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46"/>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46"/>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46"/>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46"/>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46"/>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46"/>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46"/>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46"/>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46"/>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46"/>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46"/>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46"/>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46"/>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46"/>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46"/>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46"/>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46"/>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46"/>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46"/>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46"/>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46"/>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46"/>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46"/>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46"/>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46"/>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46"/>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46"/>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46"/>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46"/>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46"/>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46"/>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46"/>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46"/>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46"/>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46"/>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46"/>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46"/>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46"/>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46"/>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46"/>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46"/>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46"/>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46"/>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46"/>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46"/>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46"/>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46"/>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46"/>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46"/>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46"/>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46"/>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46"/>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46"/>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46"/>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46"/>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46"/>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46"/>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46"/>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46"/>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46"/>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46"/>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46"/>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46"/>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46"/>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46"/>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46"/>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46"/>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46"/>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46"/>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46"/>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46"/>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46"/>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46"/>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46"/>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46"/>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46"/>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46"/>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46"/>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46"/>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46"/>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46"/>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46"/>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46"/>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46"/>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46"/>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46"/>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46"/>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46"/>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46"/>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46"/>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46"/>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46"/>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46"/>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46"/>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46"/>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46"/>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46"/>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46"/>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46"/>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46"/>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46"/>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46"/>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46"/>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46"/>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46"/>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46"/>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46"/>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46"/>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46"/>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46"/>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46"/>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46"/>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46"/>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46"/>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46"/>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46"/>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46"/>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46"/>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46"/>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46"/>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46"/>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46"/>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46"/>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46"/>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46"/>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46"/>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46"/>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46"/>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46"/>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46"/>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46"/>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46"/>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46"/>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46"/>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46"/>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46"/>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46"/>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46"/>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46"/>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46"/>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46"/>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46"/>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46"/>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46"/>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46"/>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46"/>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46"/>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46"/>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46"/>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46"/>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46"/>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46"/>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46"/>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46"/>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46"/>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46"/>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46"/>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46"/>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46"/>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46"/>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46"/>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46"/>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46"/>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46"/>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46"/>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46"/>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46"/>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46"/>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46"/>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46"/>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46"/>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46"/>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46"/>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46"/>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46"/>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46"/>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46"/>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46"/>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46"/>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46"/>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46"/>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46"/>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46"/>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46"/>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46"/>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46"/>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46"/>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46"/>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46"/>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46"/>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46"/>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46"/>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46"/>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46"/>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46"/>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46"/>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46"/>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46"/>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46"/>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46"/>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46"/>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46"/>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46"/>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46"/>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46"/>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46"/>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46"/>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46"/>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46"/>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46"/>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46"/>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46"/>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46"/>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46"/>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46"/>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46"/>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46"/>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46"/>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46"/>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46"/>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46"/>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46"/>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46"/>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46"/>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46"/>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46"/>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46"/>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46"/>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46"/>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46"/>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46"/>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46"/>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46"/>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46"/>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46"/>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46"/>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46"/>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46"/>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46"/>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46"/>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46"/>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46"/>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46"/>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46"/>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46"/>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46"/>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46"/>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46"/>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46"/>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46"/>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46"/>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46"/>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46"/>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46"/>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46"/>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46"/>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46"/>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46"/>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46"/>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46"/>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46"/>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46"/>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46"/>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46"/>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46"/>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46"/>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46"/>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46"/>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46"/>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46"/>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46"/>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46"/>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46"/>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46"/>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46"/>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46"/>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46"/>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46"/>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46"/>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46"/>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46"/>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46"/>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46"/>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46"/>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46"/>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46"/>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46"/>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46"/>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46"/>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46"/>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46"/>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46"/>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46"/>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46"/>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46"/>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46"/>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46"/>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46"/>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46"/>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46"/>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46"/>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46"/>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46"/>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46"/>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46"/>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46"/>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46"/>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46"/>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46"/>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46"/>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46"/>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46"/>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46"/>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46"/>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1" t="s">
        <v>99</v>
      </c>
      <c r="B1" s="65" t="s">
        <v>100</v>
      </c>
      <c r="C1" s="11" t="s">
        <v>101</v>
      </c>
      <c r="D1" s="11" t="s">
        <v>102</v>
      </c>
      <c r="E1" s="11" t="s">
        <v>103</v>
      </c>
      <c r="F1" s="11" t="s">
        <v>104</v>
      </c>
      <c r="G1" s="11" t="s">
        <v>105</v>
      </c>
      <c r="H1" s="11" t="s">
        <v>106</v>
      </c>
      <c r="I1" s="11" t="s">
        <v>107</v>
      </c>
      <c r="J1" s="13"/>
      <c r="K1" s="5"/>
      <c r="L1" s="5"/>
      <c r="M1" s="5"/>
      <c r="N1" s="5"/>
      <c r="O1" s="5"/>
      <c r="P1" s="5"/>
      <c r="Q1" s="5"/>
      <c r="R1" s="5"/>
      <c r="S1" s="5"/>
      <c r="T1" s="5"/>
      <c r="U1" s="5"/>
      <c r="V1" s="5"/>
      <c r="W1" s="5"/>
      <c r="X1" s="5"/>
      <c r="Y1" s="5"/>
      <c r="Z1" s="5"/>
      <c r="AA1" s="5"/>
    </row>
    <row r="2">
      <c r="A2" s="46" t="s">
        <v>93</v>
      </c>
      <c r="B2" s="46" t="s">
        <v>108</v>
      </c>
      <c r="C2" s="77">
        <v>0.0</v>
      </c>
      <c r="D2" s="82">
        <v>0.0</v>
      </c>
      <c r="E2" s="77">
        <v>1.593104932E9</v>
      </c>
      <c r="F2" s="78">
        <v>44007.71449074074</v>
      </c>
      <c r="G2" s="46" t="s">
        <v>1017</v>
      </c>
      <c r="H2" s="46" t="s">
        <v>1018</v>
      </c>
      <c r="I2" s="46" t="s">
        <v>13</v>
      </c>
      <c r="J2" s="5"/>
      <c r="K2" s="5"/>
      <c r="L2" s="5"/>
      <c r="M2" s="5"/>
      <c r="N2" s="5"/>
      <c r="O2" s="5"/>
      <c r="P2" s="5"/>
      <c r="Q2" s="5"/>
      <c r="R2" s="5"/>
      <c r="S2" s="5"/>
      <c r="T2" s="5"/>
      <c r="U2" s="5"/>
      <c r="V2" s="5"/>
      <c r="W2" s="5"/>
      <c r="X2" s="5"/>
      <c r="Y2" s="5"/>
      <c r="Z2" s="5"/>
      <c r="AA2" s="5"/>
    </row>
    <row r="3">
      <c r="A3" s="46" t="s">
        <v>11</v>
      </c>
      <c r="B3" s="46" t="s">
        <v>111</v>
      </c>
      <c r="C3" s="77">
        <v>2.0</v>
      </c>
      <c r="D3" s="82">
        <v>0.0625</v>
      </c>
      <c r="E3" s="77">
        <v>1.593105059E9</v>
      </c>
      <c r="F3" s="78">
        <v>44007.71596064815</v>
      </c>
      <c r="G3" s="46" t="s">
        <v>1019</v>
      </c>
      <c r="H3" s="46" t="s">
        <v>1020</v>
      </c>
      <c r="I3" s="46" t="s">
        <v>13</v>
      </c>
      <c r="J3" s="5"/>
      <c r="K3" s="5"/>
      <c r="L3" s="5"/>
      <c r="M3" s="5"/>
      <c r="N3" s="5"/>
      <c r="O3" s="5"/>
      <c r="P3" s="5"/>
      <c r="Q3" s="5"/>
      <c r="R3" s="5"/>
      <c r="S3" s="5"/>
      <c r="T3" s="5"/>
      <c r="U3" s="5"/>
      <c r="V3" s="5"/>
      <c r="W3" s="5"/>
      <c r="X3" s="5"/>
      <c r="Y3" s="5"/>
      <c r="Z3" s="5"/>
      <c r="AA3" s="5"/>
    </row>
    <row r="4">
      <c r="A4" s="46" t="s">
        <v>12</v>
      </c>
      <c r="B4" s="46" t="s">
        <v>114</v>
      </c>
      <c r="C4" s="77">
        <v>6.0</v>
      </c>
      <c r="D4" s="82">
        <v>0.1875</v>
      </c>
      <c r="E4" s="77">
        <v>1.59310516E9</v>
      </c>
      <c r="F4" s="78">
        <v>44007.71712962963</v>
      </c>
      <c r="G4" s="46" t="s">
        <v>1021</v>
      </c>
      <c r="H4" s="46" t="s">
        <v>1022</v>
      </c>
      <c r="I4" s="46" t="s">
        <v>12</v>
      </c>
      <c r="J4" s="5"/>
      <c r="K4" s="5"/>
      <c r="L4" s="5"/>
      <c r="M4" s="5"/>
      <c r="N4" s="5"/>
      <c r="O4" s="5"/>
      <c r="P4" s="5"/>
      <c r="Q4" s="5"/>
      <c r="R4" s="5"/>
      <c r="S4" s="5"/>
      <c r="T4" s="5"/>
      <c r="U4" s="5"/>
      <c r="V4" s="5"/>
      <c r="W4" s="5"/>
      <c r="X4" s="5"/>
      <c r="Y4" s="5"/>
      <c r="Z4" s="5"/>
      <c r="AA4" s="5"/>
    </row>
    <row r="5">
      <c r="A5" s="46" t="s">
        <v>13</v>
      </c>
      <c r="B5" s="46" t="s">
        <v>117</v>
      </c>
      <c r="C5" s="77">
        <v>11.0</v>
      </c>
      <c r="D5" s="82">
        <v>0.3438</v>
      </c>
      <c r="E5" s="77">
        <v>1.59310533E9</v>
      </c>
      <c r="F5" s="78">
        <v>44007.71909722222</v>
      </c>
      <c r="G5" s="46" t="s">
        <v>1023</v>
      </c>
      <c r="H5" s="46" t="s">
        <v>1024</v>
      </c>
      <c r="I5" s="46" t="s">
        <v>14</v>
      </c>
      <c r="J5" s="5"/>
      <c r="K5" s="5"/>
      <c r="L5" s="5"/>
      <c r="M5" s="5"/>
      <c r="N5" s="5"/>
      <c r="O5" s="5"/>
      <c r="P5" s="5"/>
      <c r="Q5" s="5"/>
      <c r="R5" s="5"/>
      <c r="S5" s="5"/>
      <c r="T5" s="5"/>
      <c r="U5" s="5"/>
      <c r="V5" s="5"/>
      <c r="W5" s="5"/>
      <c r="X5" s="5"/>
      <c r="Y5" s="5"/>
      <c r="Z5" s="5"/>
      <c r="AA5" s="5"/>
    </row>
    <row r="6">
      <c r="A6" s="46" t="s">
        <v>14</v>
      </c>
      <c r="B6" s="46" t="s">
        <v>120</v>
      </c>
      <c r="C6" s="77">
        <v>13.0</v>
      </c>
      <c r="D6" s="82">
        <v>0.4063</v>
      </c>
      <c r="E6" s="77">
        <v>1.593105535E9</v>
      </c>
      <c r="F6" s="78">
        <v>44007.72146990741</v>
      </c>
      <c r="G6" s="46" t="s">
        <v>1025</v>
      </c>
      <c r="H6" s="46" t="s">
        <v>1026</v>
      </c>
      <c r="I6" s="46" t="s">
        <v>14</v>
      </c>
      <c r="J6" s="5"/>
      <c r="K6" s="5"/>
      <c r="L6" s="5"/>
      <c r="M6" s="5"/>
      <c r="N6" s="5"/>
      <c r="O6" s="5"/>
      <c r="P6" s="5"/>
      <c r="Q6" s="5"/>
      <c r="R6" s="5"/>
      <c r="S6" s="5"/>
      <c r="T6" s="5"/>
      <c r="U6" s="5"/>
      <c r="V6" s="5"/>
      <c r="W6" s="5"/>
      <c r="X6" s="5"/>
      <c r="Y6" s="5"/>
      <c r="Z6" s="5"/>
      <c r="AA6" s="5"/>
    </row>
    <row r="7">
      <c r="A7" s="5"/>
      <c r="B7" s="46" t="s">
        <v>10</v>
      </c>
      <c r="C7" s="81">
        <v>32.0</v>
      </c>
      <c r="D7" s="92">
        <v>1.0</v>
      </c>
      <c r="E7" s="77">
        <v>1.593105643E9</v>
      </c>
      <c r="F7" s="78">
        <v>44007.722719907404</v>
      </c>
      <c r="G7" s="46" t="s">
        <v>1027</v>
      </c>
      <c r="H7" s="46" t="s">
        <v>1028</v>
      </c>
      <c r="I7" s="46" t="s">
        <v>13</v>
      </c>
      <c r="J7" s="5"/>
      <c r="K7" s="5"/>
      <c r="L7" s="5"/>
      <c r="M7" s="5"/>
      <c r="N7" s="5"/>
      <c r="O7" s="5"/>
      <c r="P7" s="5"/>
      <c r="Q7" s="5"/>
      <c r="R7" s="5"/>
      <c r="S7" s="5"/>
      <c r="T7" s="5"/>
      <c r="U7" s="5"/>
      <c r="V7" s="5"/>
      <c r="W7" s="5"/>
      <c r="X7" s="5"/>
      <c r="Y7" s="5"/>
      <c r="Z7" s="5"/>
      <c r="AA7" s="5"/>
    </row>
    <row r="8">
      <c r="A8" s="71"/>
      <c r="B8" s="46" t="s">
        <v>15</v>
      </c>
      <c r="C8" s="77">
        <v>24.0</v>
      </c>
      <c r="D8" s="82">
        <v>0.75</v>
      </c>
      <c r="E8" s="77">
        <v>1.593105887E9</v>
      </c>
      <c r="F8" s="78">
        <v>44007.72554398148</v>
      </c>
      <c r="G8" s="46" t="s">
        <v>1029</v>
      </c>
      <c r="H8" s="46" t="s">
        <v>1030</v>
      </c>
      <c r="I8" s="46" t="s">
        <v>12</v>
      </c>
      <c r="J8" s="5"/>
      <c r="K8" s="5"/>
      <c r="L8" s="5"/>
      <c r="M8" s="5"/>
      <c r="N8" s="5"/>
      <c r="O8" s="5"/>
      <c r="P8" s="5"/>
      <c r="Q8" s="5"/>
      <c r="R8" s="5"/>
      <c r="S8" s="5"/>
      <c r="T8" s="5"/>
      <c r="U8" s="5"/>
      <c r="V8" s="5"/>
      <c r="W8" s="5"/>
      <c r="X8" s="5"/>
      <c r="Y8" s="5"/>
      <c r="Z8" s="5"/>
      <c r="AA8" s="5"/>
    </row>
    <row r="9">
      <c r="A9" s="71"/>
      <c r="B9" s="46" t="s">
        <v>127</v>
      </c>
      <c r="C9" s="77">
        <v>45.0</v>
      </c>
      <c r="D9" s="82">
        <v>0.75</v>
      </c>
      <c r="E9" s="77">
        <v>1.593105998E9</v>
      </c>
      <c r="F9" s="78">
        <v>44007.7268287037</v>
      </c>
      <c r="G9" s="46" t="s">
        <v>1031</v>
      </c>
      <c r="H9" s="46" t="s">
        <v>1032</v>
      </c>
      <c r="I9" s="46" t="s">
        <v>14</v>
      </c>
      <c r="J9" s="5"/>
      <c r="K9" s="5"/>
      <c r="L9" s="5"/>
      <c r="M9" s="5"/>
      <c r="N9" s="5"/>
      <c r="O9" s="5"/>
      <c r="P9" s="5"/>
      <c r="Q9" s="5"/>
      <c r="R9" s="5"/>
      <c r="S9" s="5"/>
      <c r="T9" s="5"/>
      <c r="U9" s="5"/>
      <c r="V9" s="5"/>
      <c r="W9" s="5"/>
      <c r="X9" s="5"/>
      <c r="Y9" s="5"/>
      <c r="Z9" s="5"/>
      <c r="AA9" s="5"/>
    </row>
    <row r="10">
      <c r="A10" s="71"/>
      <c r="B10" s="71"/>
      <c r="C10" s="71"/>
      <c r="D10" s="71"/>
      <c r="E10" s="77">
        <v>1.593106091E9</v>
      </c>
      <c r="F10" s="78">
        <v>44007.72790509259</v>
      </c>
      <c r="G10" s="46" t="s">
        <v>1033</v>
      </c>
      <c r="H10" s="46" t="s">
        <v>1034</v>
      </c>
      <c r="I10" s="46" t="s">
        <v>14</v>
      </c>
      <c r="J10" s="5"/>
      <c r="K10" s="5"/>
      <c r="L10" s="5"/>
      <c r="M10" s="5"/>
      <c r="N10" s="5"/>
      <c r="O10" s="5"/>
      <c r="P10" s="5"/>
      <c r="Q10" s="5"/>
      <c r="R10" s="5"/>
      <c r="S10" s="5"/>
      <c r="T10" s="5"/>
      <c r="U10" s="5"/>
      <c r="V10" s="5"/>
      <c r="W10" s="5"/>
      <c r="X10" s="5"/>
      <c r="Y10" s="5"/>
      <c r="Z10" s="5"/>
      <c r="AA10" s="5"/>
    </row>
    <row r="11">
      <c r="A11" s="71"/>
      <c r="B11" s="71"/>
      <c r="C11" s="71"/>
      <c r="D11" s="71"/>
      <c r="E11" s="77">
        <v>1.593106248E9</v>
      </c>
      <c r="F11" s="78">
        <v>44007.72972222222</v>
      </c>
      <c r="G11" s="46" t="s">
        <v>1035</v>
      </c>
      <c r="H11" s="46" t="s">
        <v>1036</v>
      </c>
      <c r="I11" s="46" t="s">
        <v>12</v>
      </c>
      <c r="J11" s="5"/>
      <c r="K11" s="5"/>
      <c r="L11" s="5"/>
      <c r="M11" s="5"/>
      <c r="N11" s="5"/>
      <c r="O11" s="5"/>
      <c r="P11" s="5"/>
      <c r="Q11" s="5"/>
      <c r="R11" s="5"/>
      <c r="S11" s="5"/>
      <c r="T11" s="5"/>
      <c r="U11" s="5"/>
      <c r="V11" s="5"/>
      <c r="W11" s="5"/>
      <c r="X11" s="5"/>
      <c r="Y11" s="5"/>
      <c r="Z11" s="5"/>
      <c r="AA11" s="5"/>
    </row>
    <row r="12">
      <c r="A12" s="11" t="s">
        <v>134</v>
      </c>
      <c r="B12" s="80" t="s">
        <v>1037</v>
      </c>
      <c r="C12" s="71"/>
      <c r="D12" s="71"/>
      <c r="E12" s="77">
        <v>1.593106507E9</v>
      </c>
      <c r="F12" s="78">
        <v>44007.732719907406</v>
      </c>
      <c r="G12" s="46" t="s">
        <v>1038</v>
      </c>
      <c r="H12" s="46" t="s">
        <v>1039</v>
      </c>
      <c r="I12" s="46" t="s">
        <v>12</v>
      </c>
      <c r="J12" s="5"/>
      <c r="K12" s="5"/>
      <c r="L12" s="5"/>
      <c r="M12" s="5"/>
      <c r="N12" s="5"/>
      <c r="O12" s="5"/>
      <c r="P12" s="5"/>
      <c r="Q12" s="5"/>
      <c r="R12" s="5"/>
      <c r="S12" s="5"/>
      <c r="T12" s="5"/>
      <c r="U12" s="5"/>
      <c r="V12" s="5"/>
      <c r="W12" s="5"/>
      <c r="X12" s="5"/>
      <c r="Y12" s="5"/>
      <c r="Z12" s="5"/>
      <c r="AA12" s="5"/>
    </row>
    <row r="13">
      <c r="A13" s="11" t="s">
        <v>138</v>
      </c>
      <c r="B13" s="71"/>
      <c r="C13" s="11" t="s">
        <v>101</v>
      </c>
      <c r="D13" s="11" t="s">
        <v>102</v>
      </c>
      <c r="E13" s="77">
        <v>1.593106826E9</v>
      </c>
      <c r="F13" s="78">
        <v>44007.73641203704</v>
      </c>
      <c r="G13" s="46" t="s">
        <v>1040</v>
      </c>
      <c r="H13" s="46" t="s">
        <v>1041</v>
      </c>
      <c r="I13" s="46" t="s">
        <v>12</v>
      </c>
      <c r="J13" s="5"/>
      <c r="K13" s="5"/>
      <c r="L13" s="5"/>
      <c r="M13" s="5"/>
      <c r="N13" s="5"/>
      <c r="O13" s="5"/>
      <c r="P13" s="5"/>
      <c r="Q13" s="5"/>
      <c r="R13" s="5"/>
      <c r="S13" s="5"/>
      <c r="T13" s="5"/>
      <c r="U13" s="5"/>
      <c r="V13" s="5"/>
      <c r="W13" s="5"/>
      <c r="X13" s="5"/>
      <c r="Y13" s="5"/>
      <c r="Z13" s="5"/>
      <c r="AA13" s="5"/>
    </row>
    <row r="14">
      <c r="A14" s="46" t="s">
        <v>141</v>
      </c>
      <c r="B14" s="46" t="s">
        <v>142</v>
      </c>
      <c r="C14" s="81">
        <v>3.0</v>
      </c>
      <c r="D14" s="82">
        <v>1.0</v>
      </c>
      <c r="E14" s="77">
        <v>1.593107122E9</v>
      </c>
      <c r="F14" s="78">
        <v>44007.73983796296</v>
      </c>
      <c r="G14" s="46" t="s">
        <v>562</v>
      </c>
      <c r="H14" s="46" t="s">
        <v>1042</v>
      </c>
      <c r="I14" s="46" t="s">
        <v>13</v>
      </c>
      <c r="J14" s="5"/>
      <c r="K14" s="5"/>
      <c r="L14" s="5"/>
      <c r="M14" s="5"/>
      <c r="N14" s="5"/>
      <c r="O14" s="5"/>
      <c r="P14" s="5"/>
      <c r="Q14" s="5"/>
      <c r="R14" s="5"/>
      <c r="S14" s="5"/>
      <c r="T14" s="5"/>
      <c r="U14" s="5"/>
      <c r="V14" s="5"/>
      <c r="W14" s="5"/>
      <c r="X14" s="5"/>
      <c r="Y14" s="5"/>
      <c r="Z14" s="5"/>
      <c r="AA14" s="5"/>
    </row>
    <row r="15">
      <c r="A15" s="46" t="s">
        <v>3</v>
      </c>
      <c r="B15" s="46" t="s">
        <v>145</v>
      </c>
      <c r="C15" s="81">
        <v>3.0</v>
      </c>
      <c r="D15" s="82">
        <v>1.0</v>
      </c>
      <c r="E15" s="77">
        <v>1.593107289E9</v>
      </c>
      <c r="F15" s="78">
        <v>44007.74177083333</v>
      </c>
      <c r="G15" s="46" t="s">
        <v>1043</v>
      </c>
      <c r="H15" s="46" t="s">
        <v>1044</v>
      </c>
      <c r="I15" s="46" t="s">
        <v>14</v>
      </c>
      <c r="J15" s="5"/>
      <c r="K15" s="5"/>
      <c r="L15" s="5"/>
      <c r="M15" s="5"/>
      <c r="N15" s="5"/>
      <c r="O15" s="5"/>
      <c r="P15" s="5"/>
      <c r="Q15" s="5"/>
      <c r="R15" s="5"/>
      <c r="S15" s="5"/>
      <c r="T15" s="5"/>
      <c r="U15" s="5"/>
      <c r="V15" s="5"/>
      <c r="W15" s="5"/>
      <c r="X15" s="5"/>
      <c r="Y15" s="5"/>
      <c r="Z15" s="5"/>
      <c r="AA15" s="5"/>
    </row>
    <row r="16">
      <c r="A16" s="46" t="s">
        <v>4</v>
      </c>
      <c r="B16" s="46" t="s">
        <v>148</v>
      </c>
      <c r="C16" s="81">
        <v>4.0</v>
      </c>
      <c r="D16" s="82">
        <v>0.75</v>
      </c>
      <c r="E16" s="77">
        <v>1.593107489E9</v>
      </c>
      <c r="F16" s="78">
        <v>44007.74408564815</v>
      </c>
      <c r="G16" s="46" t="s">
        <v>1045</v>
      </c>
      <c r="H16" s="46" t="s">
        <v>1046</v>
      </c>
      <c r="I16" s="46" t="s">
        <v>14</v>
      </c>
      <c r="J16" s="5"/>
      <c r="K16" s="5"/>
      <c r="L16" s="5"/>
      <c r="M16" s="5"/>
      <c r="N16" s="5"/>
      <c r="O16" s="5"/>
      <c r="P16" s="5"/>
      <c r="Q16" s="5"/>
      <c r="R16" s="5"/>
      <c r="S16" s="5"/>
      <c r="T16" s="5"/>
      <c r="U16" s="5"/>
      <c r="V16" s="5"/>
      <c r="W16" s="5"/>
      <c r="X16" s="5"/>
      <c r="Y16" s="5"/>
      <c r="Z16" s="5"/>
      <c r="AA16" s="5"/>
    </row>
    <row r="17">
      <c r="A17" s="46" t="s">
        <v>5</v>
      </c>
      <c r="B17" s="46" t="s">
        <v>151</v>
      </c>
      <c r="C17" s="81">
        <v>8.0</v>
      </c>
      <c r="D17" s="82">
        <v>0.375</v>
      </c>
      <c r="E17" s="77">
        <v>1.593107662E9</v>
      </c>
      <c r="F17" s="78">
        <v>44007.746087962965</v>
      </c>
      <c r="G17" s="46" t="s">
        <v>1047</v>
      </c>
      <c r="H17" s="46" t="s">
        <v>1048</v>
      </c>
      <c r="I17" s="46" t="s">
        <v>12</v>
      </c>
      <c r="J17" s="5"/>
      <c r="K17" s="5"/>
      <c r="L17" s="5"/>
      <c r="M17" s="5"/>
      <c r="N17" s="5"/>
      <c r="O17" s="5"/>
      <c r="P17" s="5"/>
      <c r="Q17" s="5"/>
      <c r="R17" s="5"/>
      <c r="S17" s="5"/>
      <c r="T17" s="5"/>
      <c r="U17" s="5"/>
      <c r="V17" s="5"/>
      <c r="W17" s="5"/>
      <c r="X17" s="5"/>
      <c r="Y17" s="5"/>
      <c r="Z17" s="5"/>
      <c r="AA17" s="5"/>
    </row>
    <row r="18">
      <c r="A18" s="71"/>
      <c r="B18" s="11" t="s">
        <v>6</v>
      </c>
      <c r="C18" s="81">
        <v>18.0</v>
      </c>
      <c r="D18" s="82">
        <v>0.6667</v>
      </c>
      <c r="E18" s="77">
        <v>1.593108286E9</v>
      </c>
      <c r="F18" s="78">
        <v>44007.75331018519</v>
      </c>
      <c r="G18" s="46" t="s">
        <v>1049</v>
      </c>
      <c r="H18" s="46" t="s">
        <v>1050</v>
      </c>
      <c r="I18" s="46" t="s">
        <v>13</v>
      </c>
      <c r="J18" s="5"/>
      <c r="K18" s="5"/>
      <c r="L18" s="5"/>
      <c r="M18" s="5"/>
      <c r="N18" s="5"/>
      <c r="O18" s="5"/>
      <c r="P18" s="5"/>
      <c r="Q18" s="5"/>
      <c r="R18" s="5"/>
      <c r="S18" s="5"/>
      <c r="T18" s="5"/>
      <c r="U18" s="5"/>
      <c r="V18" s="5"/>
      <c r="W18" s="5"/>
      <c r="X18" s="5"/>
      <c r="Y18" s="5"/>
      <c r="Z18" s="5"/>
      <c r="AA18" s="5"/>
    </row>
    <row r="19">
      <c r="A19" s="46" t="s">
        <v>4</v>
      </c>
      <c r="B19" s="46" t="s">
        <v>161</v>
      </c>
      <c r="C19" s="77">
        <v>1.0</v>
      </c>
      <c r="D19" s="79" t="b">
        <v>0</v>
      </c>
      <c r="E19" s="77">
        <v>1.593108434E9</v>
      </c>
      <c r="F19" s="78">
        <v>44007.75502314815</v>
      </c>
      <c r="G19" s="46" t="s">
        <v>1051</v>
      </c>
      <c r="H19" s="46" t="s">
        <v>1052</v>
      </c>
      <c r="I19" s="46" t="s">
        <v>13</v>
      </c>
      <c r="J19" s="5"/>
      <c r="K19" s="5"/>
      <c r="L19" s="5"/>
      <c r="M19" s="5"/>
      <c r="N19" s="5"/>
      <c r="O19" s="5"/>
      <c r="P19" s="5"/>
      <c r="Q19" s="5"/>
      <c r="R19" s="5"/>
      <c r="S19" s="5"/>
      <c r="T19" s="5"/>
      <c r="U19" s="5"/>
      <c r="V19" s="5"/>
      <c r="W19" s="5"/>
      <c r="X19" s="5"/>
      <c r="Y19" s="5"/>
      <c r="Z19" s="5"/>
      <c r="AA19" s="5"/>
    </row>
    <row r="20">
      <c r="A20" s="46" t="s">
        <v>141</v>
      </c>
      <c r="B20" s="46" t="s">
        <v>893</v>
      </c>
      <c r="C20" s="77">
        <v>8.0</v>
      </c>
      <c r="D20" s="79" t="b">
        <v>1</v>
      </c>
      <c r="E20" s="77">
        <v>1.593108844E9</v>
      </c>
      <c r="F20" s="78">
        <v>44007.75976851852</v>
      </c>
      <c r="G20" s="46" t="s">
        <v>1053</v>
      </c>
      <c r="H20" s="46" t="s">
        <v>1054</v>
      </c>
      <c r="I20" s="46" t="s">
        <v>14</v>
      </c>
      <c r="J20" s="5"/>
      <c r="K20" s="5"/>
      <c r="L20" s="5"/>
      <c r="M20" s="5"/>
      <c r="N20" s="5"/>
      <c r="O20" s="5"/>
      <c r="P20" s="5"/>
      <c r="Q20" s="5"/>
      <c r="R20" s="5"/>
      <c r="S20" s="5"/>
      <c r="T20" s="5"/>
      <c r="U20" s="5"/>
      <c r="V20" s="5"/>
      <c r="W20" s="5"/>
      <c r="X20" s="5"/>
      <c r="Y20" s="5"/>
      <c r="Z20" s="5"/>
      <c r="AA20" s="5"/>
    </row>
    <row r="21">
      <c r="A21" s="46" t="s">
        <v>3</v>
      </c>
      <c r="B21" s="46" t="s">
        <v>896</v>
      </c>
      <c r="C21" s="77">
        <v>11.0</v>
      </c>
      <c r="D21" s="79" t="b">
        <v>1</v>
      </c>
      <c r="E21" s="77">
        <v>1.593109062E9</v>
      </c>
      <c r="F21" s="78">
        <v>44007.762291666666</v>
      </c>
      <c r="G21" s="46" t="s">
        <v>1055</v>
      </c>
      <c r="H21" s="46" t="s">
        <v>1056</v>
      </c>
      <c r="I21" s="46" t="s">
        <v>14</v>
      </c>
      <c r="J21" s="5"/>
      <c r="K21" s="5"/>
      <c r="L21" s="5"/>
      <c r="M21" s="5"/>
      <c r="N21" s="5"/>
      <c r="O21" s="5"/>
      <c r="P21" s="5"/>
      <c r="Q21" s="5"/>
      <c r="R21" s="5"/>
      <c r="S21" s="5"/>
      <c r="T21" s="5"/>
      <c r="U21" s="5"/>
      <c r="V21" s="5"/>
      <c r="W21" s="5"/>
      <c r="X21" s="5"/>
      <c r="Y21" s="5"/>
      <c r="Z21" s="5"/>
      <c r="AA21" s="5"/>
    </row>
    <row r="22">
      <c r="A22" s="46" t="s">
        <v>141</v>
      </c>
      <c r="B22" s="46" t="s">
        <v>899</v>
      </c>
      <c r="C22" s="77">
        <v>20.0</v>
      </c>
      <c r="D22" s="79" t="b">
        <v>1</v>
      </c>
      <c r="E22" s="77">
        <v>1.593109319E9</v>
      </c>
      <c r="F22" s="78">
        <v>44007.76526620371</v>
      </c>
      <c r="G22" s="46" t="s">
        <v>1057</v>
      </c>
      <c r="H22" s="46" t="s">
        <v>1058</v>
      </c>
      <c r="I22" s="46" t="s">
        <v>13</v>
      </c>
      <c r="J22" s="5"/>
      <c r="K22" s="5"/>
      <c r="L22" s="5"/>
      <c r="M22" s="5"/>
      <c r="N22" s="5"/>
      <c r="O22" s="5"/>
      <c r="P22" s="5"/>
      <c r="Q22" s="5"/>
      <c r="R22" s="5"/>
      <c r="S22" s="5"/>
      <c r="T22" s="5"/>
      <c r="U22" s="5"/>
      <c r="V22" s="5"/>
      <c r="W22" s="5"/>
      <c r="X22" s="5"/>
      <c r="Y22" s="5"/>
      <c r="Z22" s="5"/>
      <c r="AA22" s="5"/>
    </row>
    <row r="23">
      <c r="A23" s="46" t="s">
        <v>4</v>
      </c>
      <c r="B23" s="46" t="s">
        <v>167</v>
      </c>
      <c r="C23" s="77">
        <v>45.0</v>
      </c>
      <c r="D23" s="79" t="b">
        <v>1</v>
      </c>
      <c r="E23" s="77">
        <v>1.593109744E9</v>
      </c>
      <c r="F23" s="78">
        <v>44007.77018518518</v>
      </c>
      <c r="G23" s="46" t="s">
        <v>1059</v>
      </c>
      <c r="H23" s="46" t="s">
        <v>1060</v>
      </c>
      <c r="I23" s="46" t="s">
        <v>14</v>
      </c>
      <c r="J23" s="5"/>
      <c r="K23" s="5"/>
      <c r="L23" s="5"/>
      <c r="M23" s="5"/>
      <c r="N23" s="5"/>
      <c r="O23" s="5"/>
      <c r="P23" s="5"/>
      <c r="Q23" s="5"/>
      <c r="R23" s="5"/>
      <c r="S23" s="5"/>
      <c r="T23" s="5"/>
      <c r="U23" s="5"/>
      <c r="V23" s="5"/>
      <c r="W23" s="5"/>
      <c r="X23" s="5"/>
      <c r="Y23" s="5"/>
      <c r="Z23" s="5"/>
      <c r="AA23" s="5"/>
    </row>
    <row r="24">
      <c r="A24" s="46" t="s">
        <v>4</v>
      </c>
      <c r="B24" s="46" t="s">
        <v>170</v>
      </c>
      <c r="C24" s="77">
        <v>45.0</v>
      </c>
      <c r="D24" s="79" t="b">
        <v>1</v>
      </c>
      <c r="E24" s="77">
        <v>1.59310989E9</v>
      </c>
      <c r="F24" s="78">
        <v>44007.771875</v>
      </c>
      <c r="G24" s="46" t="s">
        <v>1061</v>
      </c>
      <c r="H24" s="46" t="s">
        <v>1062</v>
      </c>
      <c r="I24" s="46" t="s">
        <v>13</v>
      </c>
      <c r="J24" s="5"/>
      <c r="K24" s="5"/>
      <c r="L24" s="5"/>
      <c r="M24" s="5"/>
      <c r="N24" s="5"/>
      <c r="O24" s="5"/>
      <c r="P24" s="5"/>
      <c r="Q24" s="5"/>
      <c r="R24" s="5"/>
      <c r="S24" s="5"/>
      <c r="T24" s="5"/>
      <c r="U24" s="5"/>
      <c r="V24" s="5"/>
      <c r="W24" s="5"/>
      <c r="X24" s="5"/>
      <c r="Y24" s="5"/>
      <c r="Z24" s="5"/>
      <c r="AA24" s="5"/>
    </row>
    <row r="25">
      <c r="A25" s="46" t="s">
        <v>5</v>
      </c>
      <c r="B25" s="46" t="s">
        <v>906</v>
      </c>
      <c r="C25" s="77">
        <v>46.0</v>
      </c>
      <c r="D25" s="79" t="b">
        <v>1</v>
      </c>
      <c r="E25" s="77">
        <v>1.593110027E9</v>
      </c>
      <c r="F25" s="78">
        <v>44007.773460648146</v>
      </c>
      <c r="G25" s="46" t="s">
        <v>1063</v>
      </c>
      <c r="H25" s="46" t="s">
        <v>1064</v>
      </c>
      <c r="I25" s="46" t="s">
        <v>14</v>
      </c>
      <c r="J25" s="5"/>
      <c r="K25" s="5"/>
      <c r="L25" s="5"/>
      <c r="M25" s="5"/>
      <c r="N25" s="5"/>
      <c r="O25" s="5"/>
      <c r="P25" s="5"/>
      <c r="Q25" s="5"/>
      <c r="R25" s="5"/>
      <c r="S25" s="5"/>
      <c r="T25" s="5"/>
      <c r="U25" s="5"/>
      <c r="V25" s="5"/>
      <c r="W25" s="5"/>
      <c r="X25" s="5"/>
      <c r="Y25" s="5"/>
      <c r="Z25" s="5"/>
      <c r="AA25" s="5"/>
    </row>
    <row r="26">
      <c r="A26" s="46" t="s">
        <v>5</v>
      </c>
      <c r="B26" s="46" t="s">
        <v>908</v>
      </c>
      <c r="C26" s="77">
        <v>46.0</v>
      </c>
      <c r="D26" s="79" t="b">
        <v>0</v>
      </c>
      <c r="E26" s="77">
        <v>1.593110207E9</v>
      </c>
      <c r="F26" s="78">
        <v>44007.77554398148</v>
      </c>
      <c r="G26" s="46" t="s">
        <v>1065</v>
      </c>
      <c r="H26" s="46" t="s">
        <v>1066</v>
      </c>
      <c r="I26" s="46" t="s">
        <v>14</v>
      </c>
      <c r="J26" s="5"/>
      <c r="K26" s="5"/>
      <c r="L26" s="5"/>
      <c r="M26" s="5"/>
      <c r="N26" s="5"/>
      <c r="O26" s="5"/>
      <c r="P26" s="5"/>
      <c r="Q26" s="5"/>
      <c r="R26" s="5"/>
      <c r="S26" s="5"/>
      <c r="T26" s="5"/>
      <c r="U26" s="5"/>
      <c r="V26" s="5"/>
      <c r="W26" s="5"/>
      <c r="X26" s="5"/>
      <c r="Y26" s="5"/>
      <c r="Z26" s="5"/>
      <c r="AA26" s="5"/>
    </row>
    <row r="27">
      <c r="A27" s="46" t="s">
        <v>3</v>
      </c>
      <c r="B27" s="46" t="s">
        <v>911</v>
      </c>
      <c r="C27" s="77">
        <v>47.0</v>
      </c>
      <c r="D27" s="79" t="b">
        <v>1</v>
      </c>
      <c r="E27" s="77">
        <v>1.593110334E9</v>
      </c>
      <c r="F27" s="78">
        <v>44007.77701388889</v>
      </c>
      <c r="G27" s="46" t="s">
        <v>1067</v>
      </c>
      <c r="H27" s="46" t="s">
        <v>1068</v>
      </c>
      <c r="I27" s="46" t="s">
        <v>11</v>
      </c>
      <c r="J27" s="5"/>
      <c r="K27" s="5"/>
      <c r="L27" s="5"/>
      <c r="M27" s="5"/>
      <c r="N27" s="5"/>
      <c r="O27" s="5"/>
      <c r="P27" s="5"/>
      <c r="Q27" s="5"/>
      <c r="R27" s="5"/>
      <c r="S27" s="5"/>
      <c r="T27" s="5"/>
      <c r="U27" s="5"/>
      <c r="V27" s="5"/>
      <c r="W27" s="5"/>
      <c r="X27" s="5"/>
      <c r="Y27" s="5"/>
      <c r="Z27" s="5"/>
      <c r="AA27" s="5"/>
    </row>
    <row r="28">
      <c r="A28" s="46" t="s">
        <v>5</v>
      </c>
      <c r="B28" s="46" t="s">
        <v>914</v>
      </c>
      <c r="C28" s="77">
        <v>64.0</v>
      </c>
      <c r="D28" s="79" t="b">
        <v>1</v>
      </c>
      <c r="E28" s="77">
        <v>1.593110529E9</v>
      </c>
      <c r="F28" s="78">
        <v>44007.779270833336</v>
      </c>
      <c r="G28" s="46" t="s">
        <v>1069</v>
      </c>
      <c r="H28" s="46" t="s">
        <v>1070</v>
      </c>
      <c r="I28" s="46" t="s">
        <v>14</v>
      </c>
      <c r="J28" s="5"/>
      <c r="K28" s="5"/>
      <c r="L28" s="5"/>
      <c r="M28" s="5"/>
      <c r="N28" s="5"/>
      <c r="O28" s="5"/>
      <c r="P28" s="5"/>
      <c r="Q28" s="5"/>
      <c r="R28" s="5"/>
      <c r="S28" s="5"/>
      <c r="T28" s="5"/>
      <c r="U28" s="5"/>
      <c r="V28" s="5"/>
      <c r="W28" s="5"/>
      <c r="X28" s="5"/>
      <c r="Y28" s="5"/>
      <c r="Z28" s="5"/>
      <c r="AA28" s="5"/>
    </row>
    <row r="29">
      <c r="A29" s="46" t="s">
        <v>5</v>
      </c>
      <c r="B29" s="46" t="s">
        <v>917</v>
      </c>
      <c r="C29" s="77">
        <v>70.0</v>
      </c>
      <c r="D29" s="79" t="b">
        <v>1</v>
      </c>
      <c r="E29" s="77">
        <v>1.593110643E9</v>
      </c>
      <c r="F29" s="78">
        <v>44007.780590277776</v>
      </c>
      <c r="G29" s="46" t="s">
        <v>1071</v>
      </c>
      <c r="H29" s="46" t="s">
        <v>1072</v>
      </c>
      <c r="I29" s="46" t="s">
        <v>13</v>
      </c>
      <c r="J29" s="5"/>
      <c r="K29" s="5"/>
      <c r="L29" s="5"/>
      <c r="M29" s="5"/>
      <c r="N29" s="5"/>
      <c r="O29" s="5"/>
      <c r="P29" s="5"/>
      <c r="Q29" s="5"/>
      <c r="R29" s="5"/>
      <c r="S29" s="5"/>
      <c r="T29" s="5"/>
      <c r="U29" s="5"/>
      <c r="V29" s="5"/>
      <c r="W29" s="5"/>
      <c r="X29" s="5"/>
      <c r="Y29" s="5"/>
      <c r="Z29" s="5"/>
      <c r="AA29" s="5"/>
    </row>
    <row r="30">
      <c r="A30" s="46" t="s">
        <v>5</v>
      </c>
      <c r="B30" s="46" t="s">
        <v>920</v>
      </c>
      <c r="C30" s="77">
        <v>79.0</v>
      </c>
      <c r="D30" s="79" t="b">
        <v>0</v>
      </c>
      <c r="E30" s="77">
        <v>1.593110747E9</v>
      </c>
      <c r="F30" s="78">
        <v>44007.781793981485</v>
      </c>
      <c r="G30" s="46" t="s">
        <v>1073</v>
      </c>
      <c r="H30" s="46" t="s">
        <v>1074</v>
      </c>
      <c r="I30" s="46" t="s">
        <v>13</v>
      </c>
      <c r="J30" s="5"/>
      <c r="K30" s="5"/>
      <c r="L30" s="5"/>
      <c r="M30" s="5"/>
      <c r="N30" s="5"/>
      <c r="O30" s="5"/>
      <c r="P30" s="5"/>
      <c r="Q30" s="5"/>
      <c r="R30" s="5"/>
      <c r="S30" s="5"/>
      <c r="T30" s="5"/>
      <c r="U30" s="5"/>
      <c r="V30" s="5"/>
      <c r="W30" s="5"/>
      <c r="X30" s="5"/>
      <c r="Y30" s="5"/>
      <c r="Z30" s="5"/>
      <c r="AA30" s="5"/>
    </row>
    <row r="31">
      <c r="A31" s="46" t="s">
        <v>5</v>
      </c>
      <c r="B31" s="46" t="s">
        <v>923</v>
      </c>
      <c r="C31" s="77">
        <v>80.0</v>
      </c>
      <c r="D31" s="79" t="b">
        <v>0</v>
      </c>
      <c r="E31" s="77">
        <v>1.593110928E9</v>
      </c>
      <c r="F31" s="78">
        <v>44007.78388888889</v>
      </c>
      <c r="G31" s="46" t="s">
        <v>396</v>
      </c>
      <c r="H31" s="46" t="s">
        <v>1075</v>
      </c>
      <c r="I31" s="46" t="s">
        <v>11</v>
      </c>
      <c r="J31" s="5"/>
      <c r="K31" s="5"/>
      <c r="L31" s="5"/>
      <c r="M31" s="5"/>
      <c r="N31" s="5"/>
      <c r="O31" s="5"/>
      <c r="P31" s="5"/>
      <c r="Q31" s="5"/>
      <c r="R31" s="5"/>
      <c r="S31" s="5"/>
      <c r="T31" s="5"/>
      <c r="U31" s="5"/>
      <c r="V31" s="5"/>
      <c r="W31" s="5"/>
      <c r="X31" s="5"/>
      <c r="Y31" s="5"/>
      <c r="Z31" s="5"/>
      <c r="AA31" s="5"/>
    </row>
    <row r="32">
      <c r="A32" s="46" t="s">
        <v>3</v>
      </c>
      <c r="B32" s="46" t="s">
        <v>926</v>
      </c>
      <c r="C32" s="77">
        <v>85.0</v>
      </c>
      <c r="D32" s="79" t="b">
        <v>1</v>
      </c>
      <c r="E32" s="77">
        <v>1.593111342E9</v>
      </c>
      <c r="F32" s="78">
        <v>44007.78868055555</v>
      </c>
      <c r="G32" s="46" t="s">
        <v>398</v>
      </c>
      <c r="H32" s="46" t="s">
        <v>1076</v>
      </c>
      <c r="I32" s="46" t="s">
        <v>14</v>
      </c>
      <c r="J32" s="5"/>
      <c r="K32" s="5"/>
      <c r="L32" s="5"/>
      <c r="M32" s="5"/>
      <c r="N32" s="5"/>
      <c r="O32" s="5"/>
      <c r="P32" s="5"/>
      <c r="Q32" s="5"/>
      <c r="R32" s="5"/>
      <c r="S32" s="5"/>
      <c r="T32" s="5"/>
      <c r="U32" s="5"/>
      <c r="V32" s="5"/>
      <c r="W32" s="5"/>
      <c r="X32" s="5"/>
      <c r="Y32" s="5"/>
      <c r="Z32" s="5"/>
      <c r="AA32" s="5"/>
    </row>
    <row r="33">
      <c r="A33" s="46" t="s">
        <v>141</v>
      </c>
      <c r="B33" s="46" t="s">
        <v>929</v>
      </c>
      <c r="C33" s="77">
        <v>86.0</v>
      </c>
      <c r="D33" s="79" t="b">
        <v>1</v>
      </c>
      <c r="E33" s="77">
        <v>1.593111442E9</v>
      </c>
      <c r="F33" s="78">
        <v>44007.78983796296</v>
      </c>
      <c r="G33" s="46" t="s">
        <v>562</v>
      </c>
      <c r="H33" s="46" t="s">
        <v>1077</v>
      </c>
      <c r="I33" s="46" t="s">
        <v>13</v>
      </c>
      <c r="J33" s="5"/>
      <c r="K33" s="5"/>
      <c r="L33" s="5"/>
      <c r="M33" s="5"/>
      <c r="N33" s="5"/>
      <c r="O33" s="5"/>
      <c r="P33" s="5"/>
      <c r="Q33" s="5"/>
      <c r="R33" s="5"/>
      <c r="S33" s="5"/>
      <c r="T33" s="5"/>
      <c r="U33" s="5"/>
      <c r="V33" s="5"/>
      <c r="W33" s="5"/>
      <c r="X33" s="5"/>
      <c r="Y33" s="5"/>
      <c r="Z33" s="5"/>
      <c r="AA33" s="5"/>
    </row>
    <row r="34">
      <c r="A34" s="46" t="s">
        <v>5</v>
      </c>
      <c r="B34" s="46" t="s">
        <v>932</v>
      </c>
      <c r="C34" s="77">
        <v>90.0</v>
      </c>
      <c r="D34" s="79" t="b">
        <v>0</v>
      </c>
      <c r="E34" s="75"/>
      <c r="F34" s="68"/>
      <c r="G34" s="5"/>
      <c r="H34" s="5"/>
      <c r="I34" s="5"/>
      <c r="J34" s="5"/>
      <c r="K34" s="5"/>
      <c r="L34" s="5"/>
      <c r="M34" s="5"/>
      <c r="N34" s="5"/>
      <c r="O34" s="5"/>
      <c r="P34" s="5"/>
      <c r="Q34" s="5"/>
      <c r="R34" s="5"/>
      <c r="S34" s="5"/>
      <c r="T34" s="5"/>
      <c r="U34" s="5"/>
      <c r="V34" s="5"/>
      <c r="W34" s="5"/>
      <c r="X34" s="5"/>
      <c r="Y34" s="5"/>
      <c r="Z34" s="5"/>
      <c r="AA34" s="5"/>
    </row>
    <row r="35">
      <c r="A35" s="46" t="s">
        <v>5</v>
      </c>
      <c r="B35" s="46" t="s">
        <v>935</v>
      </c>
      <c r="C35" s="77">
        <v>90.0</v>
      </c>
      <c r="D35" s="79" t="b">
        <v>0</v>
      </c>
      <c r="E35" s="71"/>
      <c r="F35" s="76"/>
      <c r="G35" s="5"/>
      <c r="H35" s="5"/>
      <c r="I35" s="5"/>
      <c r="J35" s="5"/>
      <c r="K35" s="5"/>
      <c r="L35" s="5"/>
      <c r="M35" s="5"/>
      <c r="N35" s="5"/>
      <c r="O35" s="5"/>
      <c r="P35" s="5"/>
      <c r="Q35" s="5"/>
      <c r="R35" s="5"/>
      <c r="S35" s="5"/>
      <c r="T35" s="5"/>
      <c r="U35" s="5"/>
      <c r="V35" s="5"/>
      <c r="W35" s="5"/>
      <c r="X35" s="5"/>
      <c r="Y35" s="5"/>
      <c r="Z35" s="5"/>
      <c r="AA35" s="5"/>
    </row>
    <row r="36">
      <c r="A36" s="46" t="s">
        <v>4</v>
      </c>
      <c r="B36" s="46" t="s">
        <v>195</v>
      </c>
      <c r="C36" s="77">
        <v>90.0</v>
      </c>
      <c r="D36" s="79" t="b">
        <v>1</v>
      </c>
      <c r="E36" s="71"/>
      <c r="F36" s="76"/>
      <c r="G36" s="5"/>
      <c r="H36" s="5"/>
      <c r="I36" s="5"/>
      <c r="J36" s="5"/>
      <c r="K36" s="5"/>
      <c r="L36" s="5"/>
      <c r="M36" s="5"/>
      <c r="N36" s="5"/>
      <c r="O36" s="5"/>
      <c r="P36" s="5"/>
      <c r="Q36" s="5"/>
      <c r="R36" s="5"/>
      <c r="S36" s="5"/>
      <c r="T36" s="5"/>
      <c r="U36" s="5"/>
      <c r="V36" s="5"/>
      <c r="W36" s="5"/>
      <c r="X36" s="5"/>
      <c r="Y36" s="5"/>
      <c r="Z36" s="5"/>
      <c r="AA36" s="5"/>
    </row>
    <row r="37">
      <c r="A37" s="5"/>
      <c r="B37" s="71"/>
      <c r="C37" s="25"/>
      <c r="D37" s="5"/>
      <c r="E37" s="71"/>
      <c r="F37" s="76"/>
      <c r="G37" s="5"/>
      <c r="H37" s="5"/>
      <c r="I37" s="5"/>
      <c r="J37" s="5"/>
      <c r="K37" s="5"/>
      <c r="L37" s="5"/>
      <c r="M37" s="5"/>
      <c r="N37" s="5"/>
      <c r="O37" s="5"/>
      <c r="P37" s="5"/>
      <c r="Q37" s="5"/>
      <c r="R37" s="5"/>
      <c r="S37" s="5"/>
      <c r="T37" s="5"/>
      <c r="U37" s="5"/>
      <c r="V37" s="5"/>
      <c r="W37" s="5"/>
      <c r="X37" s="5"/>
      <c r="Y37" s="5"/>
      <c r="Z37" s="5"/>
      <c r="AA37" s="5"/>
    </row>
    <row r="38">
      <c r="A38" s="5"/>
      <c r="B38" s="71"/>
      <c r="C38" s="25"/>
      <c r="D38" s="5"/>
      <c r="E38" s="71"/>
      <c r="F38" s="76"/>
      <c r="G38" s="5"/>
      <c r="H38" s="5"/>
      <c r="I38" s="5"/>
      <c r="J38" s="5"/>
      <c r="K38" s="5"/>
      <c r="L38" s="5"/>
      <c r="M38" s="5"/>
      <c r="N38" s="5"/>
      <c r="O38" s="5"/>
      <c r="P38" s="5"/>
      <c r="Q38" s="5"/>
      <c r="R38" s="5"/>
      <c r="S38" s="5"/>
      <c r="T38" s="5"/>
      <c r="U38" s="5"/>
      <c r="V38" s="5"/>
      <c r="W38" s="5"/>
      <c r="X38" s="5"/>
      <c r="Y38" s="5"/>
      <c r="Z38" s="5"/>
      <c r="AA38" s="5"/>
    </row>
    <row r="39">
      <c r="A39" s="5"/>
      <c r="B39" s="71"/>
      <c r="C39" s="25"/>
      <c r="D39" s="5"/>
      <c r="E39" s="71"/>
      <c r="F39" s="76"/>
      <c r="G39" s="5"/>
      <c r="H39" s="5"/>
      <c r="I39" s="5"/>
      <c r="J39" s="5"/>
      <c r="K39" s="5"/>
      <c r="L39" s="5"/>
      <c r="M39" s="5"/>
      <c r="N39" s="5"/>
      <c r="O39" s="5"/>
      <c r="P39" s="5"/>
      <c r="Q39" s="5"/>
      <c r="R39" s="5"/>
      <c r="S39" s="5"/>
      <c r="T39" s="5"/>
      <c r="U39" s="5"/>
      <c r="V39" s="5"/>
      <c r="W39" s="5"/>
      <c r="X39" s="5"/>
      <c r="Y39" s="5"/>
      <c r="Z39" s="5"/>
      <c r="AA39" s="5"/>
    </row>
    <row r="40">
      <c r="A40" s="5"/>
      <c r="B40" s="71"/>
      <c r="C40" s="25"/>
      <c r="D40" s="5"/>
      <c r="E40" s="71"/>
      <c r="F40" s="76"/>
      <c r="G40" s="5"/>
      <c r="H40" s="5"/>
      <c r="I40" s="5"/>
      <c r="J40" s="5"/>
      <c r="K40" s="5"/>
      <c r="L40" s="5"/>
      <c r="M40" s="5"/>
      <c r="N40" s="5"/>
      <c r="O40" s="5"/>
      <c r="P40" s="5"/>
      <c r="Q40" s="5"/>
      <c r="R40" s="5"/>
      <c r="S40" s="5"/>
      <c r="T40" s="5"/>
      <c r="U40" s="5"/>
      <c r="V40" s="5"/>
      <c r="W40" s="5"/>
      <c r="X40" s="5"/>
      <c r="Y40" s="5"/>
      <c r="Z40" s="5"/>
      <c r="AA40" s="5"/>
    </row>
    <row r="41">
      <c r="A41" s="5"/>
      <c r="B41" s="71"/>
      <c r="C41" s="25"/>
      <c r="D41" s="5"/>
      <c r="E41" s="71"/>
      <c r="F41" s="76"/>
      <c r="G41" s="5"/>
      <c r="H41" s="5"/>
      <c r="I41" s="5"/>
      <c r="J41" s="5"/>
      <c r="K41" s="5"/>
      <c r="L41" s="5"/>
      <c r="M41" s="5"/>
      <c r="N41" s="5"/>
      <c r="O41" s="5"/>
      <c r="P41" s="5"/>
      <c r="Q41" s="5"/>
      <c r="R41" s="5"/>
      <c r="S41" s="5"/>
      <c r="T41" s="5"/>
      <c r="U41" s="5"/>
      <c r="V41" s="5"/>
      <c r="W41" s="5"/>
      <c r="X41" s="5"/>
      <c r="Y41" s="5"/>
      <c r="Z41" s="5"/>
      <c r="AA41" s="5"/>
    </row>
    <row r="42">
      <c r="A42" s="5"/>
      <c r="B42" s="71"/>
      <c r="C42" s="25"/>
      <c r="D42" s="5"/>
      <c r="E42" s="71"/>
      <c r="F42" s="76"/>
      <c r="G42" s="5"/>
      <c r="H42" s="5"/>
      <c r="I42" s="5"/>
      <c r="J42" s="5"/>
      <c r="K42" s="5"/>
      <c r="L42" s="5"/>
      <c r="M42" s="5"/>
      <c r="N42" s="5"/>
      <c r="O42" s="5"/>
      <c r="P42" s="5"/>
      <c r="Q42" s="5"/>
      <c r="R42" s="5"/>
      <c r="S42" s="5"/>
      <c r="T42" s="5"/>
      <c r="U42" s="5"/>
      <c r="V42" s="5"/>
      <c r="W42" s="5"/>
      <c r="X42" s="5"/>
      <c r="Y42" s="5"/>
      <c r="Z42" s="5"/>
      <c r="AA42" s="5"/>
    </row>
    <row r="43">
      <c r="A43" s="71"/>
      <c r="B43" s="71"/>
      <c r="C43" s="71"/>
      <c r="D43" s="71"/>
      <c r="E43" s="71"/>
      <c r="F43" s="76"/>
      <c r="G43" s="5"/>
      <c r="H43" s="5"/>
      <c r="I43" s="5"/>
      <c r="J43" s="5"/>
      <c r="K43" s="5"/>
      <c r="L43" s="5"/>
      <c r="M43" s="5"/>
      <c r="N43" s="5"/>
      <c r="O43" s="5"/>
      <c r="P43" s="5"/>
      <c r="Q43" s="5"/>
      <c r="R43" s="5"/>
      <c r="S43" s="5"/>
      <c r="T43" s="5"/>
      <c r="U43" s="5"/>
      <c r="V43" s="5"/>
      <c r="W43" s="5"/>
      <c r="X43" s="5"/>
      <c r="Y43" s="5"/>
      <c r="Z43" s="5"/>
      <c r="AA43" s="5"/>
    </row>
    <row r="44">
      <c r="A44" s="5"/>
      <c r="B44" s="5"/>
      <c r="C44" s="5"/>
      <c r="D44" s="5"/>
      <c r="E44" s="5"/>
      <c r="F44" s="76"/>
      <c r="G44" s="5"/>
      <c r="H44" s="5"/>
      <c r="I44" s="5"/>
      <c r="J44" s="5"/>
      <c r="K44" s="5"/>
      <c r="L44" s="5"/>
      <c r="M44" s="5"/>
      <c r="N44" s="5"/>
      <c r="O44" s="5"/>
      <c r="P44" s="5"/>
      <c r="Q44" s="5"/>
      <c r="R44" s="5"/>
      <c r="S44" s="5"/>
      <c r="T44" s="5"/>
      <c r="U44" s="5"/>
      <c r="V44" s="5"/>
      <c r="W44" s="5"/>
      <c r="X44" s="5"/>
      <c r="Y44" s="5"/>
      <c r="Z44" s="5"/>
      <c r="AA44" s="5"/>
    </row>
    <row r="45">
      <c r="A45" s="5"/>
      <c r="B45" s="5"/>
      <c r="C45" s="5"/>
      <c r="D45" s="5"/>
      <c r="E45" s="5"/>
      <c r="F45" s="76"/>
      <c r="G45" s="5"/>
      <c r="H45" s="5"/>
      <c r="I45" s="5"/>
      <c r="J45" s="5"/>
      <c r="K45" s="5"/>
      <c r="L45" s="5"/>
      <c r="M45" s="5"/>
      <c r="N45" s="5"/>
      <c r="O45" s="5"/>
      <c r="P45" s="5"/>
      <c r="Q45" s="5"/>
      <c r="R45" s="5"/>
      <c r="S45" s="5"/>
      <c r="T45" s="5"/>
      <c r="U45" s="5"/>
      <c r="V45" s="5"/>
      <c r="W45" s="5"/>
      <c r="X45" s="5"/>
      <c r="Y45" s="5"/>
      <c r="Z45" s="5"/>
      <c r="AA45" s="5"/>
    </row>
    <row r="46">
      <c r="A46" s="5"/>
      <c r="B46" s="5"/>
      <c r="C46" s="5"/>
      <c r="D46" s="5"/>
      <c r="E46" s="5"/>
      <c r="F46" s="76"/>
      <c r="G46" s="5"/>
      <c r="H46" s="5"/>
      <c r="I46" s="5"/>
      <c r="J46" s="5"/>
      <c r="K46" s="5"/>
      <c r="L46" s="5"/>
      <c r="M46" s="5"/>
      <c r="N46" s="5"/>
      <c r="O46" s="5"/>
      <c r="P46" s="5"/>
      <c r="Q46" s="5"/>
      <c r="R46" s="5"/>
      <c r="S46" s="5"/>
      <c r="T46" s="5"/>
      <c r="U46" s="5"/>
      <c r="V46" s="5"/>
      <c r="W46" s="5"/>
      <c r="X46" s="5"/>
      <c r="Y46" s="5"/>
      <c r="Z46" s="5"/>
      <c r="AA46" s="5"/>
    </row>
    <row r="47">
      <c r="A47" s="5"/>
      <c r="B47" s="5"/>
      <c r="C47" s="5"/>
      <c r="D47" s="5"/>
      <c r="E47" s="5"/>
      <c r="F47" s="76"/>
      <c r="G47" s="5"/>
      <c r="H47" s="5"/>
      <c r="I47" s="5"/>
      <c r="J47" s="5"/>
      <c r="K47" s="5"/>
      <c r="L47" s="5"/>
      <c r="M47" s="5"/>
      <c r="N47" s="5"/>
      <c r="O47" s="5"/>
      <c r="P47" s="5"/>
      <c r="Q47" s="5"/>
      <c r="R47" s="5"/>
      <c r="S47" s="5"/>
      <c r="T47" s="5"/>
      <c r="U47" s="5"/>
      <c r="V47" s="5"/>
      <c r="W47" s="5"/>
      <c r="X47" s="5"/>
      <c r="Y47" s="5"/>
      <c r="Z47" s="5"/>
      <c r="AA47" s="5"/>
    </row>
    <row r="48">
      <c r="A48" s="5"/>
      <c r="B48" s="5"/>
      <c r="C48" s="5"/>
      <c r="D48" s="5"/>
      <c r="E48" s="5"/>
      <c r="F48" s="76"/>
      <c r="G48" s="5"/>
      <c r="H48" s="5"/>
      <c r="I48" s="5"/>
      <c r="J48" s="5"/>
      <c r="K48" s="5"/>
      <c r="L48" s="5"/>
      <c r="M48" s="5"/>
      <c r="N48" s="5"/>
      <c r="O48" s="5"/>
      <c r="P48" s="5"/>
      <c r="Q48" s="5"/>
      <c r="R48" s="5"/>
      <c r="S48" s="5"/>
      <c r="T48" s="5"/>
      <c r="U48" s="5"/>
      <c r="V48" s="5"/>
      <c r="W48" s="5"/>
      <c r="X48" s="5"/>
      <c r="Y48" s="5"/>
      <c r="Z48" s="5"/>
      <c r="AA48" s="5"/>
    </row>
    <row r="49">
      <c r="A49" s="5"/>
      <c r="B49" s="5"/>
      <c r="C49" s="5"/>
      <c r="D49" s="5"/>
      <c r="E49" s="5"/>
      <c r="F49" s="76"/>
      <c r="G49" s="5"/>
      <c r="H49" s="5"/>
      <c r="I49" s="5"/>
      <c r="J49" s="5"/>
      <c r="K49" s="5"/>
      <c r="L49" s="5"/>
      <c r="M49" s="5"/>
      <c r="N49" s="5"/>
      <c r="O49" s="5"/>
      <c r="P49" s="5"/>
      <c r="Q49" s="5"/>
      <c r="R49" s="5"/>
      <c r="S49" s="5"/>
      <c r="T49" s="5"/>
      <c r="U49" s="5"/>
      <c r="V49" s="5"/>
      <c r="W49" s="5"/>
      <c r="X49" s="5"/>
      <c r="Y49" s="5"/>
      <c r="Z49" s="5"/>
      <c r="AA49" s="5"/>
    </row>
    <row r="50">
      <c r="A50" s="5"/>
      <c r="B50" s="5"/>
      <c r="C50" s="5"/>
      <c r="D50" s="5"/>
      <c r="E50" s="5"/>
      <c r="F50" s="76"/>
      <c r="G50" s="5"/>
      <c r="H50" s="5"/>
      <c r="I50" s="5"/>
      <c r="J50" s="5"/>
      <c r="K50" s="5"/>
      <c r="L50" s="5"/>
      <c r="M50" s="5"/>
      <c r="N50" s="5"/>
      <c r="O50" s="5"/>
      <c r="P50" s="5"/>
      <c r="Q50" s="5"/>
      <c r="R50" s="5"/>
      <c r="S50" s="5"/>
      <c r="T50" s="5"/>
      <c r="U50" s="5"/>
      <c r="V50" s="5"/>
      <c r="W50" s="5"/>
      <c r="X50" s="5"/>
      <c r="Y50" s="5"/>
      <c r="Z50" s="5"/>
      <c r="AA50" s="5"/>
    </row>
    <row r="51">
      <c r="A51" s="5"/>
      <c r="B51" s="5"/>
      <c r="C51" s="5"/>
      <c r="D51" s="5"/>
      <c r="E51" s="5"/>
      <c r="F51" s="76"/>
      <c r="G51" s="5"/>
      <c r="H51" s="5"/>
      <c r="I51" s="5"/>
      <c r="J51" s="5"/>
      <c r="K51" s="5"/>
      <c r="L51" s="5"/>
      <c r="M51" s="5"/>
      <c r="N51" s="5"/>
      <c r="O51" s="5"/>
      <c r="P51" s="5"/>
      <c r="Q51" s="5"/>
      <c r="R51" s="5"/>
      <c r="S51" s="5"/>
      <c r="T51" s="5"/>
      <c r="U51" s="5"/>
      <c r="V51" s="5"/>
      <c r="W51" s="5"/>
      <c r="X51" s="5"/>
      <c r="Y51" s="5"/>
      <c r="Z51" s="5"/>
      <c r="AA51" s="5"/>
    </row>
    <row r="52">
      <c r="A52" s="5"/>
      <c r="B52" s="5"/>
      <c r="C52" s="5"/>
      <c r="D52" s="5"/>
      <c r="E52" s="5"/>
      <c r="F52" s="76"/>
      <c r="G52" s="5"/>
      <c r="H52" s="5"/>
      <c r="I52" s="5"/>
      <c r="J52" s="5"/>
      <c r="K52" s="5"/>
      <c r="L52" s="5"/>
      <c r="M52" s="5"/>
      <c r="N52" s="5"/>
      <c r="O52" s="5"/>
      <c r="P52" s="5"/>
      <c r="Q52" s="5"/>
      <c r="R52" s="5"/>
      <c r="S52" s="5"/>
      <c r="T52" s="5"/>
      <c r="U52" s="5"/>
      <c r="V52" s="5"/>
      <c r="W52" s="5"/>
      <c r="X52" s="5"/>
      <c r="Y52" s="5"/>
      <c r="Z52" s="5"/>
      <c r="AA52" s="5"/>
    </row>
    <row r="53">
      <c r="A53" s="5"/>
      <c r="B53" s="5"/>
      <c r="C53" s="5"/>
      <c r="D53" s="5"/>
      <c r="E53" s="5"/>
      <c r="F53" s="76"/>
      <c r="G53" s="5"/>
      <c r="H53" s="5"/>
      <c r="I53" s="5"/>
      <c r="J53" s="5"/>
      <c r="K53" s="5"/>
      <c r="L53" s="5"/>
      <c r="M53" s="5"/>
      <c r="N53" s="5"/>
      <c r="O53" s="5"/>
      <c r="P53" s="5"/>
      <c r="Q53" s="5"/>
      <c r="R53" s="5"/>
      <c r="S53" s="5"/>
      <c r="T53" s="5"/>
      <c r="U53" s="5"/>
      <c r="V53" s="5"/>
      <c r="W53" s="5"/>
      <c r="X53" s="5"/>
      <c r="Y53" s="5"/>
      <c r="Z53" s="5"/>
      <c r="AA53" s="5"/>
    </row>
    <row r="54">
      <c r="A54" s="5"/>
      <c r="B54" s="5"/>
      <c r="C54" s="5"/>
      <c r="D54" s="5"/>
      <c r="E54" s="5"/>
      <c r="F54" s="76"/>
      <c r="G54" s="5"/>
      <c r="H54" s="5"/>
      <c r="I54" s="5"/>
      <c r="J54" s="5"/>
      <c r="K54" s="5"/>
      <c r="L54" s="5"/>
      <c r="M54" s="5"/>
      <c r="N54" s="5"/>
      <c r="O54" s="5"/>
      <c r="P54" s="5"/>
      <c r="Q54" s="5"/>
      <c r="R54" s="5"/>
      <c r="S54" s="5"/>
      <c r="T54" s="5"/>
      <c r="U54" s="5"/>
      <c r="V54" s="5"/>
      <c r="W54" s="5"/>
      <c r="X54" s="5"/>
      <c r="Y54" s="5"/>
      <c r="Z54" s="5"/>
      <c r="AA54" s="5"/>
    </row>
    <row r="55">
      <c r="A55" s="5"/>
      <c r="B55" s="5"/>
      <c r="C55" s="5"/>
      <c r="D55" s="5"/>
      <c r="E55" s="5"/>
      <c r="F55" s="76"/>
      <c r="G55" s="5"/>
      <c r="H55" s="5"/>
      <c r="I55" s="5"/>
      <c r="J55" s="5"/>
      <c r="K55" s="5"/>
      <c r="L55" s="5"/>
      <c r="M55" s="5"/>
      <c r="N55" s="5"/>
      <c r="O55" s="5"/>
      <c r="P55" s="5"/>
      <c r="Q55" s="5"/>
      <c r="R55" s="5"/>
      <c r="S55" s="5"/>
      <c r="T55" s="5"/>
      <c r="U55" s="5"/>
      <c r="V55" s="5"/>
      <c r="W55" s="5"/>
      <c r="X55" s="5"/>
      <c r="Y55" s="5"/>
      <c r="Z55" s="5"/>
      <c r="AA55" s="5"/>
    </row>
    <row r="56">
      <c r="A56" s="5"/>
      <c r="B56" s="5"/>
      <c r="C56" s="5"/>
      <c r="D56" s="5"/>
      <c r="E56" s="5"/>
      <c r="F56" s="76"/>
      <c r="G56" s="5"/>
      <c r="H56" s="5"/>
      <c r="I56" s="5"/>
      <c r="J56" s="5"/>
      <c r="K56" s="5"/>
      <c r="L56" s="5"/>
      <c r="M56" s="5"/>
      <c r="N56" s="5"/>
      <c r="O56" s="5"/>
      <c r="P56" s="5"/>
      <c r="Q56" s="5"/>
      <c r="R56" s="5"/>
      <c r="S56" s="5"/>
      <c r="T56" s="5"/>
      <c r="U56" s="5"/>
      <c r="V56" s="5"/>
      <c r="W56" s="5"/>
      <c r="X56" s="5"/>
      <c r="Y56" s="5"/>
      <c r="Z56" s="5"/>
      <c r="AA56" s="5"/>
    </row>
    <row r="57">
      <c r="A57" s="5"/>
      <c r="B57" s="5"/>
      <c r="C57" s="5"/>
      <c r="D57" s="5"/>
      <c r="E57" s="5"/>
      <c r="F57" s="76"/>
      <c r="G57" s="5"/>
      <c r="H57" s="5"/>
      <c r="I57" s="5"/>
      <c r="J57" s="5"/>
      <c r="K57" s="5"/>
      <c r="L57" s="5"/>
      <c r="M57" s="5"/>
      <c r="N57" s="5"/>
      <c r="O57" s="5"/>
      <c r="P57" s="5"/>
      <c r="Q57" s="5"/>
      <c r="R57" s="5"/>
      <c r="S57" s="5"/>
      <c r="T57" s="5"/>
      <c r="U57" s="5"/>
      <c r="V57" s="5"/>
      <c r="W57" s="5"/>
      <c r="X57" s="5"/>
      <c r="Y57" s="5"/>
      <c r="Z57" s="5"/>
      <c r="AA57" s="5"/>
    </row>
    <row r="58">
      <c r="A58" s="5"/>
      <c r="B58" s="5"/>
      <c r="C58" s="5"/>
      <c r="D58" s="5"/>
      <c r="E58" s="5"/>
      <c r="F58" s="76"/>
      <c r="G58" s="5"/>
      <c r="H58" s="5"/>
      <c r="I58" s="5"/>
      <c r="J58" s="5"/>
      <c r="K58" s="5"/>
      <c r="L58" s="5"/>
      <c r="M58" s="5"/>
      <c r="N58" s="5"/>
      <c r="O58" s="5"/>
      <c r="P58" s="5"/>
      <c r="Q58" s="5"/>
      <c r="R58" s="5"/>
      <c r="S58" s="5"/>
      <c r="T58" s="5"/>
      <c r="U58" s="5"/>
      <c r="V58" s="5"/>
      <c r="W58" s="5"/>
      <c r="X58" s="5"/>
      <c r="Y58" s="5"/>
      <c r="Z58" s="5"/>
      <c r="AA58" s="5"/>
    </row>
    <row r="59">
      <c r="A59" s="5"/>
      <c r="B59" s="5"/>
      <c r="C59" s="5"/>
      <c r="D59" s="5"/>
      <c r="E59" s="5"/>
      <c r="F59" s="76"/>
      <c r="G59" s="5"/>
      <c r="H59" s="5"/>
      <c r="I59" s="5"/>
      <c r="J59" s="5"/>
      <c r="K59" s="5"/>
      <c r="L59" s="5"/>
      <c r="M59" s="5"/>
      <c r="N59" s="5"/>
      <c r="O59" s="5"/>
      <c r="P59" s="5"/>
      <c r="Q59" s="5"/>
      <c r="R59" s="5"/>
      <c r="S59" s="5"/>
      <c r="T59" s="5"/>
      <c r="U59" s="5"/>
      <c r="V59" s="5"/>
      <c r="W59" s="5"/>
      <c r="X59" s="5"/>
      <c r="Y59" s="5"/>
      <c r="Z59" s="5"/>
      <c r="AA59" s="5"/>
    </row>
    <row r="60">
      <c r="A60" s="5"/>
      <c r="B60" s="5"/>
      <c r="C60" s="5"/>
      <c r="D60" s="5"/>
      <c r="E60" s="5"/>
      <c r="F60" s="76"/>
      <c r="G60" s="5"/>
      <c r="H60" s="5"/>
      <c r="I60" s="5"/>
      <c r="J60" s="5"/>
      <c r="K60" s="5"/>
      <c r="L60" s="5"/>
      <c r="M60" s="5"/>
      <c r="N60" s="5"/>
      <c r="O60" s="5"/>
      <c r="P60" s="5"/>
      <c r="Q60" s="5"/>
      <c r="R60" s="5"/>
      <c r="S60" s="5"/>
      <c r="T60" s="5"/>
      <c r="U60" s="5"/>
      <c r="V60" s="5"/>
      <c r="W60" s="5"/>
      <c r="X60" s="5"/>
      <c r="Y60" s="5"/>
      <c r="Z60" s="5"/>
      <c r="AA60" s="5"/>
    </row>
    <row r="61">
      <c r="A61" s="5"/>
      <c r="B61" s="5"/>
      <c r="C61" s="5"/>
      <c r="D61" s="5"/>
      <c r="E61" s="5"/>
      <c r="F61" s="76"/>
      <c r="G61" s="5"/>
      <c r="H61" s="5"/>
      <c r="I61" s="5"/>
      <c r="J61" s="5"/>
      <c r="K61" s="5"/>
      <c r="L61" s="5"/>
      <c r="M61" s="5"/>
      <c r="N61" s="5"/>
      <c r="O61" s="5"/>
      <c r="P61" s="5"/>
      <c r="Q61" s="5"/>
      <c r="R61" s="5"/>
      <c r="S61" s="5"/>
      <c r="T61" s="5"/>
      <c r="U61" s="5"/>
      <c r="V61" s="5"/>
      <c r="W61" s="5"/>
      <c r="X61" s="5"/>
      <c r="Y61" s="5"/>
      <c r="Z61" s="5"/>
      <c r="AA61" s="5"/>
    </row>
    <row r="62">
      <c r="A62" s="5"/>
      <c r="B62" s="5"/>
      <c r="C62" s="5"/>
      <c r="D62" s="5"/>
      <c r="E62" s="5"/>
      <c r="F62" s="76"/>
      <c r="G62" s="5"/>
      <c r="H62" s="5"/>
      <c r="I62" s="5"/>
      <c r="J62" s="5"/>
      <c r="K62" s="5"/>
      <c r="L62" s="5"/>
      <c r="M62" s="5"/>
      <c r="N62" s="5"/>
      <c r="O62" s="5"/>
      <c r="P62" s="5"/>
      <c r="Q62" s="5"/>
      <c r="R62" s="5"/>
      <c r="S62" s="5"/>
      <c r="T62" s="5"/>
      <c r="U62" s="5"/>
      <c r="V62" s="5"/>
      <c r="W62" s="5"/>
      <c r="X62" s="5"/>
      <c r="Y62" s="5"/>
      <c r="Z62" s="5"/>
      <c r="AA62" s="5"/>
    </row>
    <row r="63">
      <c r="A63" s="5"/>
      <c r="B63" s="5"/>
      <c r="C63" s="5"/>
      <c r="D63" s="5"/>
      <c r="E63" s="5"/>
      <c r="F63" s="76"/>
      <c r="G63" s="5"/>
      <c r="H63" s="5"/>
      <c r="I63" s="5"/>
      <c r="J63" s="5"/>
      <c r="K63" s="5"/>
      <c r="L63" s="5"/>
      <c r="M63" s="5"/>
      <c r="N63" s="5"/>
      <c r="O63" s="5"/>
      <c r="P63" s="5"/>
      <c r="Q63" s="5"/>
      <c r="R63" s="5"/>
      <c r="S63" s="5"/>
      <c r="T63" s="5"/>
      <c r="U63" s="5"/>
      <c r="V63" s="5"/>
      <c r="W63" s="5"/>
      <c r="X63" s="5"/>
      <c r="Y63" s="5"/>
      <c r="Z63" s="5"/>
      <c r="AA63" s="5"/>
    </row>
    <row r="64">
      <c r="A64" s="5"/>
      <c r="B64" s="5"/>
      <c r="C64" s="5"/>
      <c r="D64" s="5"/>
      <c r="E64" s="5"/>
      <c r="F64" s="76"/>
      <c r="G64" s="5"/>
      <c r="H64" s="5"/>
      <c r="I64" s="5"/>
      <c r="J64" s="5"/>
      <c r="K64" s="5"/>
      <c r="L64" s="5"/>
      <c r="M64" s="5"/>
      <c r="N64" s="5"/>
      <c r="O64" s="5"/>
      <c r="P64" s="5"/>
      <c r="Q64" s="5"/>
      <c r="R64" s="5"/>
      <c r="S64" s="5"/>
      <c r="T64" s="5"/>
      <c r="U64" s="5"/>
      <c r="V64" s="5"/>
      <c r="W64" s="5"/>
      <c r="X64" s="5"/>
      <c r="Y64" s="5"/>
      <c r="Z64" s="5"/>
      <c r="AA64" s="5"/>
    </row>
    <row r="65">
      <c r="A65" s="5"/>
      <c r="B65" s="5"/>
      <c r="C65" s="5"/>
      <c r="D65" s="5"/>
      <c r="E65" s="5"/>
      <c r="F65" s="76"/>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76"/>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c r="J1" s="13"/>
      <c r="K1" s="5"/>
      <c r="L1" s="5"/>
      <c r="M1" s="5"/>
      <c r="N1" s="5"/>
      <c r="O1" s="5"/>
      <c r="P1" s="5"/>
      <c r="Q1" s="5"/>
      <c r="R1" s="5"/>
      <c r="S1" s="5"/>
      <c r="T1" s="5"/>
      <c r="U1" s="5"/>
      <c r="V1" s="5"/>
      <c r="W1" s="5"/>
      <c r="X1" s="5"/>
      <c r="Y1" s="5"/>
      <c r="Z1" s="5"/>
      <c r="AA1" s="5"/>
    </row>
    <row r="2">
      <c r="A2" s="5" t="s">
        <v>93</v>
      </c>
      <c r="B2" s="5" t="s">
        <v>108</v>
      </c>
      <c r="C2" s="25">
        <f t="shared" ref="C2:C6" si="1">COUNTIF(I:I,A2)</f>
        <v>1</v>
      </c>
      <c r="D2" s="17">
        <f t="shared" ref="D2:D6" si="2">C2/COUNTA(I$2:I1000)</f>
        <v>0.04</v>
      </c>
      <c r="E2" s="83">
        <v>1.593105043E9</v>
      </c>
      <c r="F2" s="68">
        <f>IFERROR(__xludf.DUMMYFUNCTION("INDEX(SPLIT(E2, char(10)), 0, 1)/86400+date(1970,1,1)"),44007.71577546296)</f>
        <v>44007.71578</v>
      </c>
      <c r="G2" s="84" t="s">
        <v>1078</v>
      </c>
      <c r="H2" s="84" t="s">
        <v>1079</v>
      </c>
      <c r="I2" s="46" t="s">
        <v>14</v>
      </c>
      <c r="J2" s="5"/>
      <c r="K2" s="5"/>
      <c r="L2" s="5"/>
      <c r="M2" s="5"/>
      <c r="N2" s="5"/>
      <c r="O2" s="5"/>
      <c r="P2" s="5"/>
      <c r="Q2" s="5"/>
      <c r="R2" s="5"/>
      <c r="S2" s="5"/>
      <c r="T2" s="5"/>
      <c r="U2" s="5"/>
      <c r="V2" s="5"/>
      <c r="W2" s="5"/>
      <c r="X2" s="5"/>
      <c r="Y2" s="5"/>
      <c r="Z2" s="5"/>
      <c r="AA2" s="5"/>
    </row>
    <row r="3">
      <c r="A3" s="5" t="s">
        <v>11</v>
      </c>
      <c r="B3" s="5" t="s">
        <v>111</v>
      </c>
      <c r="C3" s="25">
        <f t="shared" si="1"/>
        <v>1</v>
      </c>
      <c r="D3" s="17">
        <f t="shared" si="2"/>
        <v>0.04</v>
      </c>
      <c r="E3" s="83">
        <v>1.593105235E9</v>
      </c>
      <c r="F3" s="68">
        <f>IFERROR(__xludf.DUMMYFUNCTION("INDEX(SPLIT(E3, char(10)), 0, 1)/86400+date(1970,1,1)"),44007.717997685184)</f>
        <v>44007.718</v>
      </c>
      <c r="G3" s="84" t="s">
        <v>504</v>
      </c>
      <c r="H3" s="84" t="s">
        <v>1080</v>
      </c>
      <c r="I3" s="46" t="s">
        <v>13</v>
      </c>
      <c r="J3" s="5"/>
      <c r="K3" s="5"/>
      <c r="L3" s="5"/>
      <c r="M3" s="5"/>
      <c r="N3" s="5"/>
      <c r="O3" s="5"/>
      <c r="P3" s="5"/>
      <c r="Q3" s="5"/>
      <c r="R3" s="5"/>
      <c r="S3" s="5"/>
      <c r="T3" s="5"/>
      <c r="U3" s="5"/>
      <c r="V3" s="5"/>
      <c r="W3" s="5"/>
      <c r="X3" s="5"/>
      <c r="Y3" s="5"/>
      <c r="Z3" s="5"/>
      <c r="AA3" s="5"/>
    </row>
    <row r="4">
      <c r="A4" s="5" t="s">
        <v>12</v>
      </c>
      <c r="B4" s="5" t="s">
        <v>114</v>
      </c>
      <c r="C4" s="25">
        <f t="shared" si="1"/>
        <v>5</v>
      </c>
      <c r="D4" s="17">
        <f t="shared" si="2"/>
        <v>0.2</v>
      </c>
      <c r="E4" s="83">
        <v>1.593105389E9</v>
      </c>
      <c r="F4" s="68">
        <f>IFERROR(__xludf.DUMMYFUNCTION("INDEX(SPLIT(E4, char(10)), 0, 1)/86400+date(1970,1,1)"),44007.71978009259)</f>
        <v>44007.71978</v>
      </c>
      <c r="G4" s="84" t="s">
        <v>940</v>
      </c>
      <c r="H4" s="84" t="s">
        <v>1081</v>
      </c>
      <c r="I4" s="46" t="s">
        <v>14</v>
      </c>
      <c r="J4" s="5"/>
      <c r="K4" s="5"/>
      <c r="L4" s="5"/>
      <c r="M4" s="5"/>
      <c r="N4" s="5"/>
      <c r="O4" s="5"/>
      <c r="P4" s="5"/>
      <c r="Q4" s="5"/>
      <c r="R4" s="5"/>
      <c r="S4" s="5"/>
      <c r="T4" s="5"/>
      <c r="U4" s="5"/>
      <c r="V4" s="5"/>
      <c r="W4" s="5"/>
      <c r="X4" s="5"/>
      <c r="Y4" s="5"/>
      <c r="Z4" s="5"/>
      <c r="AA4" s="5"/>
    </row>
    <row r="5">
      <c r="A5" s="5" t="s">
        <v>13</v>
      </c>
      <c r="B5" s="5" t="s">
        <v>117</v>
      </c>
      <c r="C5" s="25">
        <f t="shared" si="1"/>
        <v>9</v>
      </c>
      <c r="D5" s="17">
        <f t="shared" si="2"/>
        <v>0.36</v>
      </c>
      <c r="E5" s="83">
        <v>1.593105653E9</v>
      </c>
      <c r="F5" s="68">
        <f>IFERROR(__xludf.DUMMYFUNCTION("INDEX(SPLIT(E5, char(10)), 0, 1)/86400+date(1970,1,1)"),44007.72283564815)</f>
        <v>44007.72284</v>
      </c>
      <c r="G5" s="84" t="s">
        <v>1082</v>
      </c>
      <c r="H5" s="84" t="s">
        <v>1083</v>
      </c>
      <c r="I5" s="46" t="s">
        <v>13</v>
      </c>
      <c r="J5" s="5"/>
      <c r="K5" s="5"/>
      <c r="L5" s="5"/>
      <c r="M5" s="5"/>
      <c r="N5" s="5"/>
      <c r="O5" s="5"/>
      <c r="P5" s="5"/>
      <c r="Q5" s="5"/>
      <c r="R5" s="5"/>
      <c r="S5" s="5"/>
      <c r="T5" s="5"/>
      <c r="U5" s="5"/>
      <c r="V5" s="5"/>
      <c r="W5" s="5"/>
      <c r="X5" s="5"/>
      <c r="Y5" s="5"/>
      <c r="Z5" s="5"/>
      <c r="AA5" s="5"/>
    </row>
    <row r="6">
      <c r="A6" s="5" t="s">
        <v>14</v>
      </c>
      <c r="B6" s="5" t="s">
        <v>120</v>
      </c>
      <c r="C6" s="25">
        <f t="shared" si="1"/>
        <v>9</v>
      </c>
      <c r="D6" s="17">
        <f t="shared" si="2"/>
        <v>0.36</v>
      </c>
      <c r="E6" s="83">
        <v>1.593105771E9</v>
      </c>
      <c r="F6" s="68">
        <f>IFERROR(__xludf.DUMMYFUNCTION("INDEX(SPLIT(E6, char(10)), 0, 1)/86400+date(1970,1,1)"),44007.72420138889)</f>
        <v>44007.7242</v>
      </c>
      <c r="G6" s="84" t="s">
        <v>1084</v>
      </c>
      <c r="H6" s="84" t="s">
        <v>1085</v>
      </c>
      <c r="I6" s="46" t="s">
        <v>12</v>
      </c>
      <c r="J6" s="5"/>
      <c r="K6" s="5"/>
      <c r="L6" s="5"/>
      <c r="M6" s="5"/>
      <c r="N6" s="5"/>
      <c r="O6" s="5"/>
      <c r="P6" s="5"/>
      <c r="Q6" s="5"/>
      <c r="R6" s="5"/>
      <c r="S6" s="5"/>
      <c r="T6" s="5"/>
      <c r="U6" s="5"/>
      <c r="V6" s="5"/>
      <c r="W6" s="5"/>
      <c r="X6" s="5"/>
      <c r="Y6" s="5"/>
      <c r="Z6" s="5"/>
      <c r="AA6" s="5"/>
    </row>
    <row r="7">
      <c r="A7" s="5"/>
      <c r="B7" s="5" t="s">
        <v>10</v>
      </c>
      <c r="C7" s="23">
        <f t="shared" ref="C7:D7" si="3">SUM(C2:C6)</f>
        <v>25</v>
      </c>
      <c r="D7" s="70">
        <f t="shared" si="3"/>
        <v>1</v>
      </c>
      <c r="E7" s="83">
        <v>1.593105909E9</v>
      </c>
      <c r="F7" s="68">
        <f>IFERROR(__xludf.DUMMYFUNCTION("INDEX(SPLIT(E7, char(10)), 0, 1)/86400+date(1970,1,1)"),44007.72579861111)</f>
        <v>44007.7258</v>
      </c>
      <c r="G7" s="84" t="s">
        <v>1086</v>
      </c>
      <c r="H7" s="84" t="s">
        <v>1087</v>
      </c>
      <c r="I7" s="46" t="s">
        <v>93</v>
      </c>
      <c r="J7" s="5"/>
      <c r="K7" s="5"/>
      <c r="L7" s="5"/>
      <c r="M7" s="5"/>
      <c r="N7" s="5"/>
      <c r="O7" s="5"/>
      <c r="P7" s="5"/>
      <c r="Q7" s="5"/>
      <c r="R7" s="5"/>
      <c r="S7" s="5"/>
      <c r="T7" s="5"/>
      <c r="U7" s="5"/>
      <c r="V7" s="5"/>
      <c r="W7" s="5"/>
      <c r="X7" s="5"/>
      <c r="Y7" s="5"/>
      <c r="Z7" s="5"/>
      <c r="AA7" s="5"/>
    </row>
    <row r="8">
      <c r="A8" s="71"/>
      <c r="B8" s="5" t="s">
        <v>15</v>
      </c>
      <c r="C8" s="25">
        <f t="shared" ref="C8:D8" si="4">SUM(C5:C6)</f>
        <v>18</v>
      </c>
      <c r="D8" s="17">
        <f t="shared" si="4"/>
        <v>0.72</v>
      </c>
      <c r="E8" s="83">
        <v>1.59310614E9</v>
      </c>
      <c r="F8" s="68">
        <f>IFERROR(__xludf.DUMMYFUNCTION("INDEX(SPLIT(E8, char(10)), 0, 1)/86400+date(1970,1,1)"),44007.728472222225)</f>
        <v>44007.72847</v>
      </c>
      <c r="G8" s="84" t="s">
        <v>1033</v>
      </c>
      <c r="H8" s="84" t="s">
        <v>1088</v>
      </c>
      <c r="I8" s="46" t="s">
        <v>14</v>
      </c>
      <c r="J8" s="5"/>
      <c r="K8" s="5"/>
      <c r="L8" s="5"/>
      <c r="M8" s="5"/>
      <c r="N8" s="5"/>
      <c r="O8" s="5"/>
      <c r="P8" s="5"/>
      <c r="Q8" s="5"/>
      <c r="R8" s="5"/>
      <c r="S8" s="5"/>
      <c r="T8" s="5"/>
      <c r="U8" s="5"/>
      <c r="V8" s="5"/>
      <c r="W8" s="5"/>
      <c r="X8" s="5"/>
      <c r="Y8" s="5"/>
      <c r="Z8" s="5"/>
      <c r="AA8" s="5"/>
    </row>
    <row r="9">
      <c r="A9" s="71"/>
      <c r="B9" s="5" t="s">
        <v>127</v>
      </c>
      <c r="C9" s="25">
        <f>C2+C5+C6</f>
        <v>19</v>
      </c>
      <c r="D9" s="17">
        <f>SUM(D5:D6) + D2</f>
        <v>0.76</v>
      </c>
      <c r="E9" s="83">
        <v>1.593106498E9</v>
      </c>
      <c r="F9" s="68">
        <f>IFERROR(__xludf.DUMMYFUNCTION("INDEX(SPLIT(E9, char(10)), 0, 1)/86400+date(1970,1,1)"),44007.73261574074)</f>
        <v>44007.73262</v>
      </c>
      <c r="G9" s="84" t="s">
        <v>1089</v>
      </c>
      <c r="H9" s="84" t="s">
        <v>1090</v>
      </c>
      <c r="I9" s="46" t="s">
        <v>14</v>
      </c>
      <c r="J9" s="5"/>
      <c r="K9" s="5"/>
      <c r="L9" s="5"/>
      <c r="M9" s="5"/>
      <c r="N9" s="5"/>
      <c r="O9" s="5"/>
      <c r="P9" s="5"/>
      <c r="Q9" s="5"/>
      <c r="R9" s="5"/>
      <c r="S9" s="5"/>
      <c r="T9" s="5"/>
      <c r="U9" s="5"/>
      <c r="V9" s="5"/>
      <c r="W9" s="5"/>
      <c r="X9" s="5"/>
      <c r="Y9" s="5"/>
      <c r="Z9" s="5"/>
      <c r="AA9" s="5"/>
    </row>
    <row r="10">
      <c r="A10" s="71"/>
      <c r="B10" s="71"/>
      <c r="C10" s="71"/>
      <c r="D10" s="71"/>
      <c r="E10" s="83">
        <v>1.59310694E9</v>
      </c>
      <c r="F10" s="68">
        <f>IFERROR(__xludf.DUMMYFUNCTION("INDEX(SPLIT(E10, char(10)), 0, 1)/86400+date(1970,1,1)"),44007.73773148148)</f>
        <v>44007.73773</v>
      </c>
      <c r="G10" s="84" t="s">
        <v>947</v>
      </c>
      <c r="H10" s="84" t="s">
        <v>1091</v>
      </c>
      <c r="I10" s="46" t="s">
        <v>14</v>
      </c>
      <c r="J10" s="5"/>
      <c r="K10" s="5"/>
      <c r="L10" s="5"/>
      <c r="M10" s="5"/>
      <c r="N10" s="5"/>
      <c r="O10" s="5"/>
      <c r="P10" s="5"/>
      <c r="Q10" s="5"/>
      <c r="R10" s="5"/>
      <c r="S10" s="5"/>
      <c r="T10" s="5"/>
      <c r="U10" s="5"/>
      <c r="V10" s="5"/>
      <c r="W10" s="5"/>
      <c r="X10" s="5"/>
      <c r="Y10" s="5"/>
      <c r="Z10" s="5"/>
      <c r="AA10" s="5"/>
    </row>
    <row r="11">
      <c r="A11" s="71"/>
      <c r="B11" s="71"/>
      <c r="C11" s="71"/>
      <c r="D11" s="71"/>
      <c r="E11" s="83">
        <v>1.593107299E9</v>
      </c>
      <c r="F11" s="68">
        <f>IFERROR(__xludf.DUMMYFUNCTION("INDEX(SPLIT(E11, char(10)), 0, 1)/86400+date(1970,1,1)"),44007.74188657408)</f>
        <v>44007.74189</v>
      </c>
      <c r="G11" s="84" t="s">
        <v>1092</v>
      </c>
      <c r="H11" s="84" t="s">
        <v>1093</v>
      </c>
      <c r="I11" s="46" t="s">
        <v>13</v>
      </c>
      <c r="J11" s="5"/>
      <c r="K11" s="5"/>
      <c r="L11" s="5"/>
      <c r="M11" s="5"/>
      <c r="N11" s="5"/>
      <c r="O11" s="5"/>
      <c r="P11" s="5"/>
      <c r="Q11" s="5"/>
      <c r="R11" s="5"/>
      <c r="S11" s="5"/>
      <c r="T11" s="5"/>
      <c r="U11" s="5"/>
      <c r="V11" s="5"/>
      <c r="W11" s="5"/>
      <c r="X11" s="5"/>
      <c r="Y11" s="5"/>
      <c r="Z11" s="5"/>
      <c r="AA11" s="5"/>
    </row>
    <row r="12">
      <c r="A12" s="13" t="s">
        <v>134</v>
      </c>
      <c r="B12" s="85" t="s">
        <v>1094</v>
      </c>
      <c r="C12" s="71"/>
      <c r="D12" s="71"/>
      <c r="E12" s="83">
        <v>1.593107407E9</v>
      </c>
      <c r="F12" s="68">
        <f>IFERROR(__xludf.DUMMYFUNCTION("INDEX(SPLIT(E12, char(10)), 0, 1)/86400+date(1970,1,1)"),44007.74313657408)</f>
        <v>44007.74314</v>
      </c>
      <c r="G12" s="84" t="s">
        <v>1095</v>
      </c>
      <c r="H12" s="84" t="s">
        <v>1096</v>
      </c>
      <c r="I12" s="46" t="s">
        <v>14</v>
      </c>
      <c r="J12" s="5"/>
      <c r="K12" s="5"/>
      <c r="L12" s="5"/>
      <c r="M12" s="5"/>
      <c r="N12" s="5"/>
      <c r="O12" s="5"/>
      <c r="P12" s="5"/>
      <c r="Q12" s="5"/>
      <c r="R12" s="5"/>
      <c r="S12" s="5"/>
      <c r="T12" s="5"/>
      <c r="U12" s="5"/>
      <c r="V12" s="5"/>
      <c r="W12" s="5"/>
      <c r="X12" s="5"/>
      <c r="Y12" s="5"/>
      <c r="Z12" s="5"/>
      <c r="AA12" s="5"/>
    </row>
    <row r="13">
      <c r="A13" s="13" t="s">
        <v>138</v>
      </c>
      <c r="B13" s="71"/>
      <c r="C13" s="13" t="s">
        <v>101</v>
      </c>
      <c r="D13" s="13" t="s">
        <v>102</v>
      </c>
      <c r="E13" s="83">
        <v>1.593107682E9</v>
      </c>
      <c r="F13" s="68">
        <f>IFERROR(__xludf.DUMMYFUNCTION("INDEX(SPLIT(E13, char(10)), 0, 1)/86400+date(1970,1,1)"),44007.74631944444)</f>
        <v>44007.74632</v>
      </c>
      <c r="G13" s="84" t="s">
        <v>669</v>
      </c>
      <c r="H13" s="84" t="s">
        <v>1097</v>
      </c>
      <c r="I13" s="46" t="s">
        <v>12</v>
      </c>
      <c r="J13" s="5"/>
      <c r="K13" s="5"/>
      <c r="L13" s="5"/>
      <c r="M13" s="5"/>
      <c r="N13" s="5"/>
      <c r="O13" s="5"/>
      <c r="P13" s="5"/>
      <c r="Q13" s="5"/>
      <c r="R13" s="5"/>
      <c r="S13" s="5"/>
      <c r="T13" s="5"/>
      <c r="U13" s="5"/>
      <c r="V13" s="5"/>
      <c r="W13" s="5"/>
      <c r="X13" s="5"/>
      <c r="Y13" s="5"/>
      <c r="Z13" s="5"/>
      <c r="AA13" s="5"/>
    </row>
    <row r="14">
      <c r="A14" s="5" t="s">
        <v>141</v>
      </c>
      <c r="B14" s="5" t="s">
        <v>142</v>
      </c>
      <c r="C14" s="23">
        <f t="shared" ref="C14:C17" si="5">COUNTIF($A$19:$A1000, A14)</f>
        <v>3</v>
      </c>
      <c r="D14" s="17">
        <f>IFERROR(__xludf.DUMMYFUNCTION("IF(C14, COUNTIF(FILTER($D$19:$D1000, $A$19:$A1000=A14), TRUE)/C14, 0)"),0.6666666666666666)</f>
        <v>0.6666666667</v>
      </c>
      <c r="E14" s="83">
        <v>1.593108198E9</v>
      </c>
      <c r="F14" s="68">
        <f>IFERROR(__xludf.DUMMYFUNCTION("INDEX(SPLIT(E14, char(10)), 0, 1)/86400+date(1970,1,1)"),44007.752291666664)</f>
        <v>44007.75229</v>
      </c>
      <c r="G14" s="84" t="s">
        <v>1098</v>
      </c>
      <c r="H14" s="84" t="s">
        <v>1099</v>
      </c>
      <c r="I14" s="46" t="s">
        <v>12</v>
      </c>
      <c r="J14" s="5"/>
      <c r="K14" s="5"/>
      <c r="L14" s="5"/>
      <c r="M14" s="5"/>
      <c r="N14" s="5"/>
      <c r="O14" s="5"/>
      <c r="P14" s="5"/>
      <c r="Q14" s="5"/>
      <c r="R14" s="5"/>
      <c r="S14" s="5"/>
      <c r="T14" s="5"/>
      <c r="U14" s="5"/>
      <c r="V14" s="5"/>
      <c r="W14" s="5"/>
      <c r="X14" s="5"/>
      <c r="Y14" s="5"/>
      <c r="Z14" s="5"/>
      <c r="AA14" s="5"/>
    </row>
    <row r="15">
      <c r="A15" s="5" t="s">
        <v>3</v>
      </c>
      <c r="B15" s="5" t="s">
        <v>145</v>
      </c>
      <c r="C15" s="23">
        <f t="shared" si="5"/>
        <v>3</v>
      </c>
      <c r="D15" s="17">
        <f>IFERROR(__xludf.DUMMYFUNCTION("IF(C15, COUNTIF(FILTER($D$19:$D1000, $A$19:$A1000=A15), TRUE)/C15, 0)"),1.0)</f>
        <v>1</v>
      </c>
      <c r="E15" s="83">
        <v>1.593108362E9</v>
      </c>
      <c r="F15" s="68">
        <f>IFERROR(__xludf.DUMMYFUNCTION("INDEX(SPLIT(E15, char(10)), 0, 1)/86400+date(1970,1,1)"),44007.75418981482)</f>
        <v>44007.75419</v>
      </c>
      <c r="G15" s="84" t="s">
        <v>988</v>
      </c>
      <c r="H15" s="84" t="s">
        <v>1100</v>
      </c>
      <c r="I15" s="46" t="s">
        <v>12</v>
      </c>
      <c r="J15" s="5"/>
      <c r="K15" s="5"/>
      <c r="L15" s="5"/>
      <c r="M15" s="5"/>
      <c r="N15" s="5"/>
      <c r="O15" s="5"/>
      <c r="P15" s="5"/>
      <c r="Q15" s="5"/>
      <c r="R15" s="5"/>
      <c r="S15" s="5"/>
      <c r="T15" s="5"/>
      <c r="U15" s="5"/>
      <c r="V15" s="5"/>
      <c r="W15" s="5"/>
      <c r="X15" s="5"/>
      <c r="Y15" s="5"/>
      <c r="Z15" s="5"/>
      <c r="AA15" s="5"/>
    </row>
    <row r="16">
      <c r="A16" s="5" t="s">
        <v>4</v>
      </c>
      <c r="B16" s="5" t="s">
        <v>148</v>
      </c>
      <c r="C16" s="23">
        <f t="shared" si="5"/>
        <v>4</v>
      </c>
      <c r="D16" s="17">
        <f>IFERROR(__xludf.DUMMYFUNCTION("IF(C16, COUNTIF(FILTER($D$19:$D1000, $A$19:$A1000=A16), TRUE)/C16, 0)"),0.5)</f>
        <v>0.5</v>
      </c>
      <c r="E16" s="83">
        <v>1.593108475E9</v>
      </c>
      <c r="F16" s="68">
        <f>IFERROR(__xludf.DUMMYFUNCTION("INDEX(SPLIT(E16, char(10)), 0, 1)/86400+date(1970,1,1)"),44007.75549768518)</f>
        <v>44007.7555</v>
      </c>
      <c r="G16" s="84" t="s">
        <v>1101</v>
      </c>
      <c r="H16" s="84" t="s">
        <v>1102</v>
      </c>
      <c r="I16" s="46" t="s">
        <v>13</v>
      </c>
      <c r="J16" s="5"/>
      <c r="K16" s="5"/>
      <c r="L16" s="5"/>
      <c r="M16" s="5"/>
      <c r="N16" s="5"/>
      <c r="O16" s="5"/>
      <c r="P16" s="5"/>
      <c r="Q16" s="5"/>
      <c r="R16" s="5"/>
      <c r="S16" s="5"/>
      <c r="T16" s="5"/>
      <c r="U16" s="5"/>
      <c r="V16" s="5"/>
      <c r="W16" s="5"/>
      <c r="X16" s="5"/>
      <c r="Y16" s="5"/>
      <c r="Z16" s="5"/>
      <c r="AA16" s="5"/>
    </row>
    <row r="17">
      <c r="A17" s="5" t="s">
        <v>5</v>
      </c>
      <c r="B17" s="5" t="s">
        <v>151</v>
      </c>
      <c r="C17" s="23">
        <f t="shared" si="5"/>
        <v>8</v>
      </c>
      <c r="D17" s="17">
        <f>IFERROR(__xludf.DUMMYFUNCTION("IF(C17, COUNTIF(FILTER($D$19:$D1000, $A$19:$A1000=A17), TRUE)/C17, 0)"),0.25)</f>
        <v>0.25</v>
      </c>
      <c r="E17" s="83">
        <v>1.593109264E9</v>
      </c>
      <c r="F17" s="68">
        <f>IFERROR(__xludf.DUMMYFUNCTION("INDEX(SPLIT(E17, char(10)), 0, 1)/86400+date(1970,1,1)"),44007.76462962963)</f>
        <v>44007.76463</v>
      </c>
      <c r="G17" s="84" t="s">
        <v>1103</v>
      </c>
      <c r="H17" s="84" t="s">
        <v>1104</v>
      </c>
      <c r="I17" s="46" t="s">
        <v>12</v>
      </c>
      <c r="J17" s="5"/>
      <c r="K17" s="5"/>
      <c r="L17" s="5"/>
      <c r="M17" s="5"/>
      <c r="N17" s="5"/>
      <c r="O17" s="5"/>
      <c r="P17" s="5"/>
      <c r="Q17" s="5"/>
      <c r="R17" s="5"/>
      <c r="S17" s="5"/>
      <c r="T17" s="5"/>
      <c r="U17" s="5"/>
      <c r="V17" s="5"/>
      <c r="W17" s="5"/>
      <c r="X17" s="5"/>
      <c r="Y17" s="5"/>
      <c r="Z17" s="5"/>
      <c r="AA17" s="5"/>
    </row>
    <row r="18">
      <c r="A18" s="71"/>
      <c r="B18" s="13" t="s">
        <v>6</v>
      </c>
      <c r="C18" s="23">
        <f>SUM(C14:C17)</f>
        <v>18</v>
      </c>
      <c r="D18" s="17">
        <f>COUNTIF($D$19:$D1000, TRUE)/SUM($C$14:$C$17)</f>
        <v>0.5</v>
      </c>
      <c r="E18" s="83">
        <v>1.593109381E9</v>
      </c>
      <c r="F18" s="68">
        <f>IFERROR(__xludf.DUMMYFUNCTION("INDEX(SPLIT(E18, char(10)), 0, 1)/86400+date(1970,1,1)"),44007.7659837963)</f>
        <v>44007.76598</v>
      </c>
      <c r="G18" s="84" t="s">
        <v>1105</v>
      </c>
      <c r="H18" s="84" t="s">
        <v>1106</v>
      </c>
      <c r="I18" s="46" t="s">
        <v>13</v>
      </c>
      <c r="J18" s="5"/>
      <c r="K18" s="5"/>
      <c r="L18" s="5"/>
      <c r="M18" s="5"/>
      <c r="N18" s="5"/>
      <c r="O18" s="5"/>
      <c r="P18" s="5"/>
      <c r="Q18" s="5"/>
      <c r="R18" s="5"/>
      <c r="S18" s="5"/>
      <c r="T18" s="5"/>
      <c r="U18" s="5"/>
      <c r="V18" s="5"/>
      <c r="W18" s="5"/>
      <c r="X18" s="5"/>
      <c r="Y18" s="5"/>
      <c r="Z18" s="5"/>
      <c r="AA18" s="5"/>
    </row>
    <row r="19">
      <c r="A19" s="5" t="s">
        <v>4</v>
      </c>
      <c r="B19" s="5" t="s">
        <v>161</v>
      </c>
      <c r="C19" s="25">
        <v>1.0</v>
      </c>
      <c r="D19" s="79" t="b">
        <v>0</v>
      </c>
      <c r="E19" s="83">
        <v>1.593109513E9</v>
      </c>
      <c r="F19" s="68">
        <f>IFERROR(__xludf.DUMMYFUNCTION("INDEX(SPLIT(E19, char(10)), 0, 1)/86400+date(1970,1,1)"),44007.76751157407)</f>
        <v>44007.76751</v>
      </c>
      <c r="G19" s="84" t="s">
        <v>1107</v>
      </c>
      <c r="H19" s="84" t="s">
        <v>1108</v>
      </c>
      <c r="I19" s="46" t="s">
        <v>14</v>
      </c>
      <c r="J19" s="5"/>
      <c r="K19" s="5"/>
      <c r="L19" s="5"/>
      <c r="M19" s="5"/>
      <c r="N19" s="5"/>
      <c r="O19" s="5"/>
      <c r="P19" s="5"/>
      <c r="Q19" s="5"/>
      <c r="R19" s="5"/>
      <c r="S19" s="5"/>
      <c r="T19" s="5"/>
      <c r="U19" s="5"/>
      <c r="V19" s="5"/>
      <c r="W19" s="5"/>
      <c r="X19" s="5"/>
      <c r="Y19" s="5"/>
      <c r="Z19" s="5"/>
      <c r="AA19" s="5"/>
    </row>
    <row r="20">
      <c r="A20" s="5" t="s">
        <v>141</v>
      </c>
      <c r="B20" s="5" t="s">
        <v>893</v>
      </c>
      <c r="C20" s="25">
        <v>8.0</v>
      </c>
      <c r="D20" s="79" t="b">
        <v>0</v>
      </c>
      <c r="E20" s="83">
        <v>1.59310992E9</v>
      </c>
      <c r="F20" s="68">
        <f>IFERROR(__xludf.DUMMYFUNCTION("INDEX(SPLIT(E20, char(10)), 0, 1)/86400+date(1970,1,1)"),44007.77222222222)</f>
        <v>44007.77222</v>
      </c>
      <c r="G20" s="84" t="s">
        <v>1109</v>
      </c>
      <c r="H20" s="84" t="s">
        <v>1110</v>
      </c>
      <c r="I20" s="46" t="s">
        <v>13</v>
      </c>
      <c r="J20" s="5"/>
      <c r="K20" s="5"/>
      <c r="L20" s="5"/>
      <c r="M20" s="5"/>
      <c r="N20" s="5"/>
      <c r="O20" s="5"/>
      <c r="P20" s="5"/>
      <c r="Q20" s="5"/>
      <c r="R20" s="5"/>
      <c r="S20" s="5"/>
      <c r="T20" s="5"/>
      <c r="U20" s="5"/>
      <c r="V20" s="5"/>
      <c r="W20" s="5"/>
      <c r="X20" s="5"/>
      <c r="Y20" s="5"/>
      <c r="Z20" s="5"/>
      <c r="AA20" s="5"/>
    </row>
    <row r="21">
      <c r="A21" s="5" t="s">
        <v>3</v>
      </c>
      <c r="B21" s="5" t="s">
        <v>896</v>
      </c>
      <c r="C21" s="25">
        <v>11.0</v>
      </c>
      <c r="D21" s="79" t="b">
        <v>1</v>
      </c>
      <c r="E21" s="83">
        <v>1.593110087E9</v>
      </c>
      <c r="F21" s="68">
        <f>IFERROR(__xludf.DUMMYFUNCTION("INDEX(SPLIT(E21, char(10)), 0, 1)/86400+date(1970,1,1)"),44007.77415509259)</f>
        <v>44007.77416</v>
      </c>
      <c r="G21" s="84" t="s">
        <v>1111</v>
      </c>
      <c r="H21" s="84" t="s">
        <v>1112</v>
      </c>
      <c r="I21" s="46" t="s">
        <v>11</v>
      </c>
      <c r="J21" s="5"/>
      <c r="K21" s="5"/>
      <c r="L21" s="5"/>
      <c r="M21" s="5"/>
      <c r="N21" s="5"/>
      <c r="O21" s="5"/>
      <c r="P21" s="5"/>
      <c r="Q21" s="5"/>
      <c r="R21" s="5"/>
      <c r="S21" s="5"/>
      <c r="T21" s="5"/>
      <c r="U21" s="5"/>
      <c r="V21" s="5"/>
      <c r="W21" s="5"/>
      <c r="X21" s="5"/>
      <c r="Y21" s="5"/>
      <c r="Z21" s="5"/>
      <c r="AA21" s="5"/>
    </row>
    <row r="22">
      <c r="A22" s="5" t="s">
        <v>141</v>
      </c>
      <c r="B22" s="5" t="s">
        <v>899</v>
      </c>
      <c r="C22" s="25">
        <v>20.0</v>
      </c>
      <c r="D22" s="79" t="b">
        <v>1</v>
      </c>
      <c r="E22" s="83">
        <v>1.593110272E9</v>
      </c>
      <c r="F22" s="68">
        <f>IFERROR(__xludf.DUMMYFUNCTION("INDEX(SPLIT(E22, char(10)), 0, 1)/86400+date(1970,1,1)"),44007.776296296295)</f>
        <v>44007.7763</v>
      </c>
      <c r="G22" s="84" t="s">
        <v>1113</v>
      </c>
      <c r="H22" s="84" t="s">
        <v>1114</v>
      </c>
      <c r="I22" s="46" t="s">
        <v>14</v>
      </c>
      <c r="J22" s="5"/>
      <c r="K22" s="5"/>
      <c r="L22" s="5"/>
      <c r="M22" s="5"/>
      <c r="N22" s="5"/>
      <c r="O22" s="5"/>
      <c r="P22" s="5"/>
      <c r="Q22" s="5"/>
      <c r="R22" s="5"/>
      <c r="S22" s="5"/>
      <c r="T22" s="5"/>
      <c r="U22" s="5"/>
      <c r="V22" s="5"/>
      <c r="W22" s="5"/>
      <c r="X22" s="5"/>
      <c r="Y22" s="5"/>
      <c r="Z22" s="5"/>
      <c r="AA22" s="5"/>
    </row>
    <row r="23">
      <c r="A23" s="5" t="s">
        <v>4</v>
      </c>
      <c r="B23" s="5" t="s">
        <v>167</v>
      </c>
      <c r="C23" s="25">
        <v>45.0</v>
      </c>
      <c r="D23" s="79" t="b">
        <v>1</v>
      </c>
      <c r="E23" s="83">
        <v>1.593110678E9</v>
      </c>
      <c r="F23" s="68">
        <f>IFERROR(__xludf.DUMMYFUNCTION("INDEX(SPLIT(E23, char(10)), 0, 1)/86400+date(1970,1,1)"),44007.78099537037)</f>
        <v>44007.781</v>
      </c>
      <c r="G23" s="84" t="s">
        <v>1115</v>
      </c>
      <c r="H23" s="84" t="s">
        <v>1116</v>
      </c>
      <c r="I23" s="46" t="s">
        <v>13</v>
      </c>
      <c r="J23" s="5"/>
      <c r="K23" s="5"/>
      <c r="L23" s="5"/>
      <c r="M23" s="5"/>
      <c r="N23" s="5"/>
      <c r="O23" s="5"/>
      <c r="P23" s="5"/>
      <c r="Q23" s="5"/>
      <c r="R23" s="5"/>
      <c r="S23" s="5"/>
      <c r="T23" s="5"/>
      <c r="U23" s="5"/>
      <c r="V23" s="5"/>
      <c r="W23" s="5"/>
      <c r="X23" s="5"/>
      <c r="Y23" s="5"/>
      <c r="Z23" s="5"/>
      <c r="AA23" s="5"/>
    </row>
    <row r="24">
      <c r="A24" s="5" t="s">
        <v>4</v>
      </c>
      <c r="B24" s="5" t="s">
        <v>170</v>
      </c>
      <c r="C24" s="25">
        <v>45.0</v>
      </c>
      <c r="D24" s="79" t="b">
        <v>0</v>
      </c>
      <c r="E24" s="83">
        <v>1.593110793E9</v>
      </c>
      <c r="F24" s="68">
        <f>IFERROR(__xludf.DUMMYFUNCTION("INDEX(SPLIT(E24, char(10)), 0, 1)/86400+date(1970,1,1)"),44007.782326388886)</f>
        <v>44007.78233</v>
      </c>
      <c r="G24" s="84" t="s">
        <v>1117</v>
      </c>
      <c r="H24" s="84" t="s">
        <v>1118</v>
      </c>
      <c r="I24" s="46" t="s">
        <v>13</v>
      </c>
      <c r="J24" s="5"/>
      <c r="K24" s="5"/>
      <c r="L24" s="5"/>
      <c r="M24" s="5"/>
      <c r="N24" s="5"/>
      <c r="O24" s="5"/>
      <c r="P24" s="5"/>
      <c r="Q24" s="5"/>
      <c r="R24" s="5"/>
      <c r="S24" s="5"/>
      <c r="T24" s="5"/>
      <c r="U24" s="5"/>
      <c r="V24" s="5"/>
      <c r="W24" s="5"/>
      <c r="X24" s="5"/>
      <c r="Y24" s="5"/>
      <c r="Z24" s="5"/>
      <c r="AA24" s="5"/>
    </row>
    <row r="25">
      <c r="A25" s="5" t="s">
        <v>5</v>
      </c>
      <c r="B25" s="71" t="s">
        <v>906</v>
      </c>
      <c r="C25" s="25">
        <v>46.0</v>
      </c>
      <c r="D25" s="79" t="b">
        <v>0</v>
      </c>
      <c r="E25" s="83">
        <v>1.593111061E9</v>
      </c>
      <c r="F25" s="68">
        <f>IFERROR(__xludf.DUMMYFUNCTION("INDEX(SPLIT(E25, char(10)), 0, 1)/86400+date(1970,1,1)"),44007.78542824074)</f>
        <v>44007.78543</v>
      </c>
      <c r="G25" s="84" t="s">
        <v>1119</v>
      </c>
      <c r="H25" s="84" t="s">
        <v>1120</v>
      </c>
      <c r="I25" s="46" t="s">
        <v>14</v>
      </c>
      <c r="J25" s="5"/>
      <c r="K25" s="5"/>
      <c r="L25" s="5"/>
      <c r="M25" s="5"/>
      <c r="N25" s="5"/>
      <c r="O25" s="5"/>
      <c r="P25" s="5"/>
      <c r="Q25" s="5"/>
      <c r="R25" s="5"/>
      <c r="S25" s="5"/>
      <c r="T25" s="5"/>
      <c r="U25" s="5"/>
      <c r="V25" s="5"/>
      <c r="W25" s="5"/>
      <c r="X25" s="5"/>
      <c r="Y25" s="5"/>
      <c r="Z25" s="5"/>
      <c r="AA25" s="5"/>
    </row>
    <row r="26">
      <c r="A26" s="5" t="s">
        <v>5</v>
      </c>
      <c r="B26" s="71" t="s">
        <v>908</v>
      </c>
      <c r="C26" s="25">
        <v>46.0</v>
      </c>
      <c r="D26" s="79" t="b">
        <v>0</v>
      </c>
      <c r="E26" s="83">
        <v>1.593111186E9</v>
      </c>
      <c r="F26" s="68">
        <f>IFERROR(__xludf.DUMMYFUNCTION("INDEX(SPLIT(E26, char(10)), 0, 1)/86400+date(1970,1,1)"),44007.786875000005)</f>
        <v>44007.78688</v>
      </c>
      <c r="G26" s="84" t="s">
        <v>1121</v>
      </c>
      <c r="H26" s="84" t="s">
        <v>1122</v>
      </c>
      <c r="I26" s="46" t="s">
        <v>13</v>
      </c>
      <c r="J26" s="5"/>
      <c r="K26" s="5"/>
      <c r="L26" s="5"/>
      <c r="M26" s="5"/>
      <c r="N26" s="5"/>
      <c r="O26" s="5"/>
      <c r="P26" s="5"/>
      <c r="Q26" s="5"/>
      <c r="R26" s="5"/>
      <c r="S26" s="5"/>
      <c r="T26" s="5"/>
      <c r="U26" s="5"/>
      <c r="V26" s="5"/>
      <c r="W26" s="5"/>
      <c r="X26" s="5"/>
      <c r="Y26" s="5"/>
      <c r="Z26" s="5"/>
      <c r="AA26" s="5"/>
    </row>
    <row r="27">
      <c r="A27" s="5" t="s">
        <v>3</v>
      </c>
      <c r="B27" s="71" t="s">
        <v>911</v>
      </c>
      <c r="C27" s="25">
        <v>47.0</v>
      </c>
      <c r="D27" s="79" t="b">
        <v>1</v>
      </c>
      <c r="E27" s="83"/>
      <c r="F27" s="68"/>
      <c r="G27" s="84"/>
      <c r="H27" s="84"/>
      <c r="I27" s="5"/>
      <c r="J27" s="5"/>
      <c r="K27" s="5"/>
      <c r="L27" s="5"/>
      <c r="M27" s="5"/>
      <c r="N27" s="5"/>
      <c r="O27" s="5"/>
      <c r="P27" s="5"/>
      <c r="Q27" s="5"/>
      <c r="R27" s="5"/>
      <c r="S27" s="5"/>
      <c r="T27" s="5"/>
      <c r="U27" s="5"/>
      <c r="V27" s="5"/>
      <c r="W27" s="5"/>
      <c r="X27" s="5"/>
      <c r="Y27" s="5"/>
      <c r="Z27" s="5"/>
      <c r="AA27" s="5"/>
    </row>
    <row r="28">
      <c r="A28" s="5" t="s">
        <v>5</v>
      </c>
      <c r="B28" s="71" t="s">
        <v>914</v>
      </c>
      <c r="C28" s="25">
        <v>64.0</v>
      </c>
      <c r="D28" s="79" t="b">
        <v>1</v>
      </c>
      <c r="E28" s="83"/>
      <c r="F28" s="68"/>
      <c r="G28" s="84"/>
      <c r="H28" s="84"/>
      <c r="I28" s="5"/>
      <c r="J28" s="5"/>
      <c r="K28" s="5"/>
      <c r="L28" s="5"/>
      <c r="M28" s="5"/>
      <c r="N28" s="5"/>
      <c r="O28" s="5"/>
      <c r="P28" s="5"/>
      <c r="Q28" s="5"/>
      <c r="R28" s="5"/>
      <c r="S28" s="5"/>
      <c r="T28" s="5"/>
      <c r="U28" s="5"/>
      <c r="V28" s="5"/>
      <c r="W28" s="5"/>
      <c r="X28" s="5"/>
      <c r="Y28" s="5"/>
      <c r="Z28" s="5"/>
      <c r="AA28" s="5"/>
    </row>
    <row r="29">
      <c r="A29" s="5" t="s">
        <v>5</v>
      </c>
      <c r="B29" s="71" t="s">
        <v>917</v>
      </c>
      <c r="C29" s="25">
        <v>70.0</v>
      </c>
      <c r="D29" s="79" t="b">
        <v>1</v>
      </c>
      <c r="E29" s="75"/>
      <c r="F29" s="68"/>
      <c r="G29" s="5"/>
      <c r="H29" s="5"/>
      <c r="I29" s="5"/>
      <c r="J29" s="5"/>
      <c r="K29" s="5"/>
      <c r="L29" s="5"/>
      <c r="M29" s="5"/>
      <c r="N29" s="5"/>
      <c r="O29" s="5"/>
      <c r="P29" s="5"/>
      <c r="Q29" s="5"/>
      <c r="R29" s="5"/>
      <c r="S29" s="5"/>
      <c r="T29" s="5"/>
      <c r="U29" s="5"/>
      <c r="V29" s="5"/>
      <c r="W29" s="5"/>
      <c r="X29" s="5"/>
      <c r="Y29" s="5"/>
      <c r="Z29" s="5"/>
      <c r="AA29" s="5"/>
    </row>
    <row r="30">
      <c r="A30" s="5" t="s">
        <v>5</v>
      </c>
      <c r="B30" s="71" t="s">
        <v>920</v>
      </c>
      <c r="C30" s="25">
        <v>79.0</v>
      </c>
      <c r="D30" s="79" t="b">
        <v>0</v>
      </c>
      <c r="E30" s="68"/>
      <c r="F30" s="68"/>
      <c r="G30" s="5"/>
      <c r="H30" s="5"/>
      <c r="I30" s="5"/>
      <c r="J30" s="5"/>
      <c r="K30" s="5"/>
      <c r="L30" s="5"/>
      <c r="M30" s="5"/>
      <c r="N30" s="5"/>
      <c r="O30" s="5"/>
      <c r="P30" s="5"/>
      <c r="Q30" s="5"/>
      <c r="R30" s="5"/>
      <c r="S30" s="5"/>
      <c r="T30" s="5"/>
      <c r="U30" s="5"/>
      <c r="V30" s="5"/>
      <c r="W30" s="5"/>
      <c r="X30" s="5"/>
      <c r="Y30" s="5"/>
      <c r="Z30" s="5"/>
      <c r="AA30" s="5"/>
    </row>
    <row r="31">
      <c r="A31" s="5" t="s">
        <v>5</v>
      </c>
      <c r="B31" s="71" t="s">
        <v>923</v>
      </c>
      <c r="C31" s="25">
        <v>80.0</v>
      </c>
      <c r="D31" s="79" t="b">
        <v>0</v>
      </c>
      <c r="E31" s="75"/>
      <c r="F31" s="68"/>
      <c r="G31" s="5"/>
      <c r="H31" s="5"/>
      <c r="I31" s="5"/>
      <c r="J31" s="5"/>
      <c r="K31" s="5"/>
      <c r="L31" s="5"/>
      <c r="M31" s="5"/>
      <c r="N31" s="5"/>
      <c r="O31" s="5"/>
      <c r="P31" s="5"/>
      <c r="Q31" s="5"/>
      <c r="R31" s="5"/>
      <c r="S31" s="5"/>
      <c r="T31" s="5"/>
      <c r="U31" s="5"/>
      <c r="V31" s="5"/>
      <c r="W31" s="5"/>
      <c r="X31" s="5"/>
      <c r="Y31" s="5"/>
      <c r="Z31" s="5"/>
      <c r="AA31" s="5"/>
    </row>
    <row r="32">
      <c r="A32" s="5" t="s">
        <v>3</v>
      </c>
      <c r="B32" s="71" t="s">
        <v>926</v>
      </c>
      <c r="C32" s="25">
        <v>85.0</v>
      </c>
      <c r="D32" s="79" t="b">
        <v>1</v>
      </c>
      <c r="E32" s="75"/>
      <c r="F32" s="68"/>
      <c r="G32" s="5"/>
      <c r="H32" s="5"/>
      <c r="I32" s="5"/>
      <c r="J32" s="5"/>
      <c r="K32" s="5"/>
      <c r="L32" s="5"/>
      <c r="M32" s="5"/>
      <c r="N32" s="5"/>
      <c r="O32" s="5"/>
      <c r="P32" s="5"/>
      <c r="Q32" s="5"/>
      <c r="R32" s="5"/>
      <c r="S32" s="5"/>
      <c r="T32" s="5"/>
      <c r="U32" s="5"/>
      <c r="V32" s="5"/>
      <c r="W32" s="5"/>
      <c r="X32" s="5"/>
      <c r="Y32" s="5"/>
      <c r="Z32" s="5"/>
      <c r="AA32" s="5"/>
    </row>
    <row r="33">
      <c r="A33" s="5" t="s">
        <v>141</v>
      </c>
      <c r="B33" s="71" t="s">
        <v>929</v>
      </c>
      <c r="C33" s="25">
        <v>86.0</v>
      </c>
      <c r="D33" s="79" t="b">
        <v>1</v>
      </c>
      <c r="E33" s="75"/>
      <c r="F33" s="68"/>
      <c r="G33" s="5"/>
      <c r="H33" s="5"/>
      <c r="I33" s="5"/>
      <c r="J33" s="5"/>
      <c r="K33" s="5"/>
      <c r="L33" s="5"/>
      <c r="M33" s="5"/>
      <c r="N33" s="5"/>
      <c r="O33" s="5"/>
      <c r="P33" s="5"/>
      <c r="Q33" s="5"/>
      <c r="R33" s="5"/>
      <c r="S33" s="5"/>
      <c r="T33" s="5"/>
      <c r="U33" s="5"/>
      <c r="V33" s="5"/>
      <c r="W33" s="5"/>
      <c r="X33" s="5"/>
      <c r="Y33" s="5"/>
      <c r="Z33" s="5"/>
      <c r="AA33" s="5"/>
    </row>
    <row r="34">
      <c r="A34" s="5" t="s">
        <v>5</v>
      </c>
      <c r="B34" s="71" t="s">
        <v>932</v>
      </c>
      <c r="C34" s="25">
        <v>90.0</v>
      </c>
      <c r="D34" s="79" t="b">
        <v>0</v>
      </c>
      <c r="E34" s="75"/>
      <c r="F34" s="68"/>
      <c r="G34" s="5"/>
      <c r="H34" s="5"/>
      <c r="I34" s="5"/>
      <c r="J34" s="5"/>
      <c r="K34" s="5"/>
      <c r="L34" s="5"/>
      <c r="M34" s="5"/>
      <c r="N34" s="5"/>
      <c r="O34" s="5"/>
      <c r="P34" s="5"/>
      <c r="Q34" s="5"/>
      <c r="R34" s="5"/>
      <c r="S34" s="5"/>
      <c r="T34" s="5"/>
      <c r="U34" s="5"/>
      <c r="V34" s="5"/>
      <c r="W34" s="5"/>
      <c r="X34" s="5"/>
      <c r="Y34" s="5"/>
      <c r="Z34" s="5"/>
      <c r="AA34" s="5"/>
    </row>
    <row r="35">
      <c r="A35" s="5" t="s">
        <v>5</v>
      </c>
      <c r="B35" s="71" t="s">
        <v>935</v>
      </c>
      <c r="C35" s="25">
        <v>90.0</v>
      </c>
      <c r="D35" s="79" t="b">
        <v>0</v>
      </c>
      <c r="E35" s="71"/>
      <c r="F35" s="76"/>
      <c r="G35" s="5"/>
      <c r="H35" s="5"/>
      <c r="I35" s="5"/>
      <c r="J35" s="5"/>
      <c r="K35" s="5"/>
      <c r="L35" s="5"/>
      <c r="M35" s="5"/>
      <c r="N35" s="5"/>
      <c r="O35" s="5"/>
      <c r="P35" s="5"/>
      <c r="Q35" s="5"/>
      <c r="R35" s="5"/>
      <c r="S35" s="5"/>
      <c r="T35" s="5"/>
      <c r="U35" s="5"/>
      <c r="V35" s="5"/>
      <c r="W35" s="5"/>
      <c r="X35" s="5"/>
      <c r="Y35" s="5"/>
      <c r="Z35" s="5"/>
      <c r="AA35" s="5"/>
    </row>
    <row r="36">
      <c r="A36" s="5" t="s">
        <v>4</v>
      </c>
      <c r="B36" s="71" t="s">
        <v>195</v>
      </c>
      <c r="C36" s="25">
        <v>90.0</v>
      </c>
      <c r="D36" s="79" t="b">
        <v>1</v>
      </c>
      <c r="E36" s="71"/>
      <c r="F36" s="76"/>
      <c r="G36" s="5"/>
      <c r="H36" s="5"/>
      <c r="I36" s="5"/>
      <c r="J36" s="5"/>
      <c r="K36" s="5"/>
      <c r="L36" s="5"/>
      <c r="M36" s="5"/>
      <c r="N36" s="5"/>
      <c r="O36" s="5"/>
      <c r="P36" s="5"/>
      <c r="Q36" s="5"/>
      <c r="R36" s="5"/>
      <c r="S36" s="5"/>
      <c r="T36" s="5"/>
      <c r="U36" s="5"/>
      <c r="V36" s="5"/>
      <c r="W36" s="5"/>
      <c r="X36" s="5"/>
      <c r="Y36" s="5"/>
      <c r="Z36" s="5"/>
      <c r="AA36" s="5"/>
    </row>
    <row r="37">
      <c r="A37" s="5"/>
      <c r="B37" s="71"/>
      <c r="C37" s="25"/>
      <c r="D37" s="5"/>
      <c r="E37" s="71"/>
      <c r="F37" s="76"/>
      <c r="G37" s="5"/>
      <c r="H37" s="5"/>
      <c r="I37" s="5"/>
      <c r="J37" s="5"/>
      <c r="K37" s="5"/>
      <c r="L37" s="5"/>
      <c r="M37" s="5"/>
      <c r="N37" s="5"/>
      <c r="O37" s="5"/>
      <c r="P37" s="5"/>
      <c r="Q37" s="5"/>
      <c r="R37" s="5"/>
      <c r="S37" s="5"/>
      <c r="T37" s="5"/>
      <c r="U37" s="5"/>
      <c r="V37" s="5"/>
      <c r="W37" s="5"/>
      <c r="X37" s="5"/>
      <c r="Y37" s="5"/>
      <c r="Z37" s="5"/>
      <c r="AA37" s="5"/>
    </row>
    <row r="38">
      <c r="A38" s="46"/>
      <c r="B38" s="46"/>
      <c r="C38" s="77"/>
      <c r="D38" s="46"/>
      <c r="E38" s="46"/>
      <c r="F38" s="76"/>
      <c r="G38" s="5"/>
      <c r="H38" s="5"/>
      <c r="I38" s="5"/>
      <c r="J38" s="5"/>
      <c r="K38" s="5"/>
      <c r="L38" s="5"/>
      <c r="M38" s="5"/>
      <c r="N38" s="5"/>
      <c r="O38" s="5"/>
      <c r="P38" s="5"/>
      <c r="Q38" s="5"/>
      <c r="R38" s="5"/>
      <c r="S38" s="5"/>
      <c r="T38" s="5"/>
      <c r="U38" s="5"/>
      <c r="V38" s="5"/>
      <c r="W38" s="5"/>
      <c r="X38" s="5"/>
      <c r="Y38" s="5"/>
      <c r="Z38" s="5"/>
      <c r="AA38" s="5"/>
    </row>
    <row r="39">
      <c r="A39" s="46"/>
      <c r="B39" s="46"/>
      <c r="C39" s="77"/>
      <c r="D39" s="46"/>
      <c r="E39" s="46"/>
      <c r="F39" s="76"/>
      <c r="G39" s="5"/>
      <c r="H39" s="5"/>
      <c r="I39" s="5"/>
      <c r="J39" s="5"/>
      <c r="K39" s="5"/>
      <c r="L39" s="5"/>
      <c r="M39" s="5"/>
      <c r="N39" s="5"/>
      <c r="O39" s="5"/>
      <c r="P39" s="5"/>
      <c r="Q39" s="5"/>
      <c r="R39" s="5"/>
      <c r="S39" s="5"/>
      <c r="T39" s="5"/>
      <c r="U39" s="5"/>
      <c r="V39" s="5"/>
      <c r="W39" s="5"/>
      <c r="X39" s="5"/>
      <c r="Y39" s="5"/>
      <c r="Z39" s="5"/>
      <c r="AA39" s="5"/>
    </row>
    <row r="40">
      <c r="A40" s="46"/>
      <c r="B40" s="46"/>
      <c r="C40" s="77"/>
      <c r="D40" s="46"/>
      <c r="E40" s="46"/>
      <c r="F40" s="76"/>
      <c r="G40" s="5"/>
      <c r="H40" s="5"/>
      <c r="I40" s="5"/>
      <c r="J40" s="5"/>
      <c r="K40" s="5"/>
      <c r="L40" s="5"/>
      <c r="M40" s="5"/>
      <c r="N40" s="5"/>
      <c r="O40" s="5"/>
      <c r="P40" s="5"/>
      <c r="Q40" s="5"/>
      <c r="R40" s="5"/>
      <c r="S40" s="5"/>
      <c r="T40" s="5"/>
      <c r="U40" s="5"/>
      <c r="V40" s="5"/>
      <c r="W40" s="5"/>
      <c r="X40" s="5"/>
      <c r="Y40" s="5"/>
      <c r="Z40" s="5"/>
      <c r="AA40" s="5"/>
    </row>
    <row r="41">
      <c r="A41" s="46"/>
      <c r="B41" s="46"/>
      <c r="C41" s="77"/>
      <c r="D41" s="46"/>
      <c r="E41" s="46"/>
      <c r="F41" s="76"/>
      <c r="G41" s="5"/>
      <c r="H41" s="5"/>
      <c r="I41" s="5"/>
      <c r="J41" s="5"/>
      <c r="K41" s="5"/>
      <c r="L41" s="5"/>
      <c r="M41" s="5"/>
      <c r="N41" s="5"/>
      <c r="O41" s="5"/>
      <c r="P41" s="5"/>
      <c r="Q41" s="5"/>
      <c r="R41" s="5"/>
      <c r="S41" s="5"/>
      <c r="T41" s="5"/>
      <c r="U41" s="5"/>
      <c r="V41" s="5"/>
      <c r="W41" s="5"/>
      <c r="X41" s="5"/>
      <c r="Y41" s="5"/>
      <c r="Z41" s="5"/>
      <c r="AA41" s="5"/>
    </row>
    <row r="42">
      <c r="A42" s="46"/>
      <c r="B42" s="46"/>
      <c r="C42" s="77"/>
      <c r="D42" s="46"/>
      <c r="E42" s="46"/>
      <c r="F42" s="76"/>
      <c r="G42" s="5"/>
      <c r="H42" s="5"/>
      <c r="I42" s="5"/>
      <c r="J42" s="5"/>
      <c r="K42" s="5"/>
      <c r="L42" s="5"/>
      <c r="M42" s="5"/>
      <c r="N42" s="5"/>
      <c r="O42" s="5"/>
      <c r="P42" s="5"/>
      <c r="Q42" s="5"/>
      <c r="R42" s="5"/>
      <c r="S42" s="5"/>
      <c r="T42" s="5"/>
      <c r="U42" s="5"/>
      <c r="V42" s="5"/>
      <c r="W42" s="5"/>
      <c r="X42" s="5"/>
      <c r="Y42" s="5"/>
      <c r="Z42" s="5"/>
      <c r="AA42" s="5"/>
    </row>
    <row r="43">
      <c r="A43" s="46"/>
      <c r="B43" s="46"/>
      <c r="C43" s="46"/>
      <c r="D43" s="46"/>
      <c r="E43" s="46"/>
      <c r="F43" s="76"/>
      <c r="G43" s="5"/>
      <c r="H43" s="5"/>
      <c r="I43" s="5"/>
      <c r="J43" s="5"/>
      <c r="K43" s="5"/>
      <c r="L43" s="5"/>
      <c r="M43" s="5"/>
      <c r="N43" s="5"/>
      <c r="O43" s="5"/>
      <c r="P43" s="5"/>
      <c r="Q43" s="5"/>
      <c r="R43" s="5"/>
      <c r="S43" s="5"/>
      <c r="T43" s="5"/>
      <c r="U43" s="5"/>
      <c r="V43" s="5"/>
      <c r="W43" s="5"/>
      <c r="X43" s="5"/>
      <c r="Y43" s="5"/>
      <c r="Z43" s="5"/>
      <c r="AA43" s="5"/>
    </row>
    <row r="44">
      <c r="A44" s="46"/>
      <c r="B44" s="46"/>
      <c r="C44" s="46"/>
      <c r="D44" s="46"/>
      <c r="E44" s="46"/>
      <c r="F44" s="76"/>
      <c r="G44" s="5"/>
      <c r="H44" s="5"/>
      <c r="I44" s="5"/>
      <c r="J44" s="5"/>
      <c r="K44" s="5"/>
      <c r="L44" s="5"/>
      <c r="M44" s="5"/>
      <c r="N44" s="5"/>
      <c r="O44" s="5"/>
      <c r="P44" s="5"/>
      <c r="Q44" s="5"/>
      <c r="R44" s="5"/>
      <c r="S44" s="5"/>
      <c r="T44" s="5"/>
      <c r="U44" s="5"/>
      <c r="V44" s="5"/>
      <c r="W44" s="5"/>
      <c r="X44" s="5"/>
      <c r="Y44" s="5"/>
      <c r="Z44" s="5"/>
      <c r="AA44" s="5"/>
    </row>
    <row r="45">
      <c r="A45" s="46"/>
      <c r="B45" s="46"/>
      <c r="C45" s="46"/>
      <c r="D45" s="46"/>
      <c r="E45" s="46"/>
      <c r="F45" s="76"/>
      <c r="G45" s="5"/>
      <c r="H45" s="5"/>
      <c r="I45" s="5"/>
      <c r="J45" s="5"/>
      <c r="K45" s="5"/>
      <c r="L45" s="5"/>
      <c r="M45" s="5"/>
      <c r="N45" s="5"/>
      <c r="O45" s="5"/>
      <c r="P45" s="5"/>
      <c r="Q45" s="5"/>
      <c r="R45" s="5"/>
      <c r="S45" s="5"/>
      <c r="T45" s="5"/>
      <c r="U45" s="5"/>
      <c r="V45" s="5"/>
      <c r="W45" s="5"/>
      <c r="X45" s="5"/>
      <c r="Y45" s="5"/>
      <c r="Z45" s="5"/>
      <c r="AA45" s="5"/>
    </row>
    <row r="46">
      <c r="A46" s="46"/>
      <c r="B46" s="46"/>
      <c r="C46" s="46"/>
      <c r="D46" s="46"/>
      <c r="E46" s="46"/>
      <c r="F46" s="76"/>
      <c r="G46" s="5"/>
      <c r="H46" s="5"/>
      <c r="I46" s="5"/>
      <c r="J46" s="5"/>
      <c r="K46" s="5"/>
      <c r="L46" s="5"/>
      <c r="M46" s="5"/>
      <c r="N46" s="5"/>
      <c r="O46" s="5"/>
      <c r="P46" s="5"/>
      <c r="Q46" s="5"/>
      <c r="R46" s="5"/>
      <c r="S46" s="5"/>
      <c r="T46" s="5"/>
      <c r="U46" s="5"/>
      <c r="V46" s="5"/>
      <c r="W46" s="5"/>
      <c r="X46" s="5"/>
      <c r="Y46" s="5"/>
      <c r="Z46" s="5"/>
      <c r="AA46" s="5"/>
    </row>
    <row r="47">
      <c r="A47" s="46"/>
      <c r="B47" s="46"/>
      <c r="C47" s="46"/>
      <c r="D47" s="46"/>
      <c r="E47" s="46"/>
      <c r="F47" s="76"/>
      <c r="G47" s="5"/>
      <c r="H47" s="5"/>
      <c r="I47" s="5"/>
      <c r="J47" s="5"/>
      <c r="K47" s="5"/>
      <c r="L47" s="5"/>
      <c r="M47" s="5"/>
      <c r="N47" s="5"/>
      <c r="O47" s="5"/>
      <c r="P47" s="5"/>
      <c r="Q47" s="5"/>
      <c r="R47" s="5"/>
      <c r="S47" s="5"/>
      <c r="T47" s="5"/>
      <c r="U47" s="5"/>
      <c r="V47" s="5"/>
      <c r="W47" s="5"/>
      <c r="X47" s="5"/>
      <c r="Y47" s="5"/>
      <c r="Z47" s="5"/>
      <c r="AA47" s="5"/>
    </row>
    <row r="48">
      <c r="A48" s="46"/>
      <c r="B48" s="46"/>
      <c r="C48" s="46"/>
      <c r="D48" s="46"/>
      <c r="E48" s="46"/>
      <c r="F48" s="76"/>
      <c r="G48" s="5"/>
      <c r="H48" s="5"/>
      <c r="I48" s="5"/>
      <c r="J48" s="5"/>
      <c r="K48" s="5"/>
      <c r="L48" s="5"/>
      <c r="M48" s="5"/>
      <c r="N48" s="5"/>
      <c r="O48" s="5"/>
      <c r="P48" s="5"/>
      <c r="Q48" s="5"/>
      <c r="R48" s="5"/>
      <c r="S48" s="5"/>
      <c r="T48" s="5"/>
      <c r="U48" s="5"/>
      <c r="V48" s="5"/>
      <c r="W48" s="5"/>
      <c r="X48" s="5"/>
      <c r="Y48" s="5"/>
      <c r="Z48" s="5"/>
      <c r="AA48" s="5"/>
    </row>
    <row r="49">
      <c r="A49" s="46"/>
      <c r="B49" s="46"/>
      <c r="C49" s="46"/>
      <c r="D49" s="46"/>
      <c r="E49" s="46"/>
      <c r="F49" s="76"/>
      <c r="G49" s="5"/>
      <c r="H49" s="5"/>
      <c r="I49" s="5"/>
      <c r="J49" s="5"/>
      <c r="K49" s="5"/>
      <c r="L49" s="5"/>
      <c r="M49" s="5"/>
      <c r="N49" s="5"/>
      <c r="O49" s="5"/>
      <c r="P49" s="5"/>
      <c r="Q49" s="5"/>
      <c r="R49" s="5"/>
      <c r="S49" s="5"/>
      <c r="T49" s="5"/>
      <c r="U49" s="5"/>
      <c r="V49" s="5"/>
      <c r="W49" s="5"/>
      <c r="X49" s="5"/>
      <c r="Y49" s="5"/>
      <c r="Z49" s="5"/>
      <c r="AA49" s="5"/>
    </row>
    <row r="50">
      <c r="A50" s="46"/>
      <c r="B50" s="46"/>
      <c r="C50" s="46"/>
      <c r="D50" s="46"/>
      <c r="E50" s="46"/>
      <c r="F50" s="76"/>
      <c r="G50" s="5"/>
      <c r="H50" s="5"/>
      <c r="I50" s="5"/>
      <c r="J50" s="5"/>
      <c r="K50" s="5"/>
      <c r="L50" s="5"/>
      <c r="M50" s="5"/>
      <c r="N50" s="5"/>
      <c r="O50" s="5"/>
      <c r="P50" s="5"/>
      <c r="Q50" s="5"/>
      <c r="R50" s="5"/>
      <c r="S50" s="5"/>
      <c r="T50" s="5"/>
      <c r="U50" s="5"/>
      <c r="V50" s="5"/>
      <c r="W50" s="5"/>
      <c r="X50" s="5"/>
      <c r="Y50" s="5"/>
      <c r="Z50" s="5"/>
      <c r="AA50" s="5"/>
    </row>
    <row r="51">
      <c r="A51" s="46"/>
      <c r="B51" s="46"/>
      <c r="C51" s="46"/>
      <c r="D51" s="46"/>
      <c r="E51" s="46"/>
      <c r="F51" s="76"/>
      <c r="G51" s="5"/>
      <c r="H51" s="5"/>
      <c r="I51" s="5"/>
      <c r="J51" s="5"/>
      <c r="K51" s="5"/>
      <c r="L51" s="5"/>
      <c r="M51" s="5"/>
      <c r="N51" s="5"/>
      <c r="O51" s="5"/>
      <c r="P51" s="5"/>
      <c r="Q51" s="5"/>
      <c r="R51" s="5"/>
      <c r="S51" s="5"/>
      <c r="T51" s="5"/>
      <c r="U51" s="5"/>
      <c r="V51" s="5"/>
      <c r="W51" s="5"/>
      <c r="X51" s="5"/>
      <c r="Y51" s="5"/>
      <c r="Z51" s="5"/>
      <c r="AA51" s="5"/>
    </row>
    <row r="52">
      <c r="A52" s="46"/>
      <c r="B52" s="46"/>
      <c r="C52" s="46"/>
      <c r="D52" s="46"/>
      <c r="E52" s="46"/>
      <c r="F52" s="76"/>
      <c r="G52" s="5"/>
      <c r="H52" s="5"/>
      <c r="I52" s="5"/>
      <c r="J52" s="5"/>
      <c r="K52" s="5"/>
      <c r="L52" s="5"/>
      <c r="M52" s="5"/>
      <c r="N52" s="5"/>
      <c r="O52" s="5"/>
      <c r="P52" s="5"/>
      <c r="Q52" s="5"/>
      <c r="R52" s="5"/>
      <c r="S52" s="5"/>
      <c r="T52" s="5"/>
      <c r="U52" s="5"/>
      <c r="V52" s="5"/>
      <c r="W52" s="5"/>
      <c r="X52" s="5"/>
      <c r="Y52" s="5"/>
      <c r="Z52" s="5"/>
      <c r="AA52" s="5"/>
    </row>
    <row r="53">
      <c r="A53" s="46"/>
      <c r="B53" s="46"/>
      <c r="C53" s="46"/>
      <c r="D53" s="46"/>
      <c r="E53" s="46"/>
      <c r="F53" s="76"/>
      <c r="G53" s="5"/>
      <c r="H53" s="5"/>
      <c r="I53" s="5"/>
      <c r="J53" s="5"/>
      <c r="K53" s="5"/>
      <c r="L53" s="5"/>
      <c r="M53" s="5"/>
      <c r="N53" s="5"/>
      <c r="O53" s="5"/>
      <c r="P53" s="5"/>
      <c r="Q53" s="5"/>
      <c r="R53" s="5"/>
      <c r="S53" s="5"/>
      <c r="T53" s="5"/>
      <c r="U53" s="5"/>
      <c r="V53" s="5"/>
      <c r="W53" s="5"/>
      <c r="X53" s="5"/>
      <c r="Y53" s="5"/>
      <c r="Z53" s="5"/>
      <c r="AA53" s="5"/>
    </row>
    <row r="54">
      <c r="A54" s="46"/>
      <c r="B54" s="46"/>
      <c r="C54" s="46"/>
      <c r="D54" s="46"/>
      <c r="E54" s="46"/>
      <c r="F54" s="76"/>
      <c r="G54" s="5"/>
      <c r="H54" s="5"/>
      <c r="I54" s="5"/>
      <c r="J54" s="5"/>
      <c r="K54" s="5"/>
      <c r="L54" s="5"/>
      <c r="M54" s="5"/>
      <c r="N54" s="5"/>
      <c r="O54" s="5"/>
      <c r="P54" s="5"/>
      <c r="Q54" s="5"/>
      <c r="R54" s="5"/>
      <c r="S54" s="5"/>
      <c r="T54" s="5"/>
      <c r="U54" s="5"/>
      <c r="V54" s="5"/>
      <c r="W54" s="5"/>
      <c r="X54" s="5"/>
      <c r="Y54" s="5"/>
      <c r="Z54" s="5"/>
      <c r="AA54" s="5"/>
    </row>
    <row r="55">
      <c r="A55" s="46"/>
      <c r="B55" s="46"/>
      <c r="C55" s="46"/>
      <c r="D55" s="46"/>
      <c r="E55" s="46"/>
      <c r="F55" s="76"/>
      <c r="G55" s="5"/>
      <c r="H55" s="5"/>
      <c r="I55" s="5"/>
      <c r="J55" s="5"/>
      <c r="K55" s="5"/>
      <c r="L55" s="5"/>
      <c r="M55" s="5"/>
      <c r="N55" s="5"/>
      <c r="O55" s="5"/>
      <c r="P55" s="5"/>
      <c r="Q55" s="5"/>
      <c r="R55" s="5"/>
      <c r="S55" s="5"/>
      <c r="T55" s="5"/>
      <c r="U55" s="5"/>
      <c r="V55" s="5"/>
      <c r="W55" s="5"/>
      <c r="X55" s="5"/>
      <c r="Y55" s="5"/>
      <c r="Z55" s="5"/>
      <c r="AA55" s="5"/>
    </row>
    <row r="56">
      <c r="A56" s="46"/>
      <c r="B56" s="46"/>
      <c r="C56" s="46"/>
      <c r="D56" s="46"/>
      <c r="E56" s="46"/>
      <c r="F56" s="76"/>
      <c r="G56" s="5"/>
      <c r="H56" s="5"/>
      <c r="I56" s="5"/>
      <c r="J56" s="5"/>
      <c r="K56" s="5"/>
      <c r="L56" s="5"/>
      <c r="M56" s="5"/>
      <c r="N56" s="5"/>
      <c r="O56" s="5"/>
      <c r="P56" s="5"/>
      <c r="Q56" s="5"/>
      <c r="R56" s="5"/>
      <c r="S56" s="5"/>
      <c r="T56" s="5"/>
      <c r="U56" s="5"/>
      <c r="V56" s="5"/>
      <c r="W56" s="5"/>
      <c r="X56" s="5"/>
      <c r="Y56" s="5"/>
      <c r="Z56" s="5"/>
      <c r="AA56" s="5"/>
    </row>
    <row r="57">
      <c r="A57" s="46"/>
      <c r="B57" s="46"/>
      <c r="C57" s="46"/>
      <c r="D57" s="46"/>
      <c r="E57" s="46"/>
      <c r="F57" s="76"/>
      <c r="G57" s="5"/>
      <c r="H57" s="5"/>
      <c r="I57" s="5"/>
      <c r="J57" s="5"/>
      <c r="K57" s="5"/>
      <c r="L57" s="5"/>
      <c r="M57" s="5"/>
      <c r="N57" s="5"/>
      <c r="O57" s="5"/>
      <c r="P57" s="5"/>
      <c r="Q57" s="5"/>
      <c r="R57" s="5"/>
      <c r="S57" s="5"/>
      <c r="T57" s="5"/>
      <c r="U57" s="5"/>
      <c r="V57" s="5"/>
      <c r="W57" s="5"/>
      <c r="X57" s="5"/>
      <c r="Y57" s="5"/>
      <c r="Z57" s="5"/>
      <c r="AA57" s="5"/>
    </row>
    <row r="58">
      <c r="A58" s="46"/>
      <c r="B58" s="46"/>
      <c r="C58" s="46"/>
      <c r="D58" s="46"/>
      <c r="E58" s="46"/>
      <c r="F58" s="76"/>
      <c r="G58" s="5"/>
      <c r="H58" s="5"/>
      <c r="I58" s="5"/>
      <c r="J58" s="5"/>
      <c r="K58" s="5"/>
      <c r="L58" s="5"/>
      <c r="M58" s="5"/>
      <c r="N58" s="5"/>
      <c r="O58" s="5"/>
      <c r="P58" s="5"/>
      <c r="Q58" s="5"/>
      <c r="R58" s="5"/>
      <c r="S58" s="5"/>
      <c r="T58" s="5"/>
      <c r="U58" s="5"/>
      <c r="V58" s="5"/>
      <c r="W58" s="5"/>
      <c r="X58" s="5"/>
      <c r="Y58" s="5"/>
      <c r="Z58" s="5"/>
      <c r="AA58" s="5"/>
    </row>
    <row r="59">
      <c r="A59" s="46"/>
      <c r="B59" s="46"/>
      <c r="C59" s="46"/>
      <c r="D59" s="46"/>
      <c r="E59" s="46"/>
      <c r="F59" s="76"/>
      <c r="G59" s="5"/>
      <c r="H59" s="5"/>
      <c r="I59" s="5"/>
      <c r="J59" s="5"/>
      <c r="K59" s="5"/>
      <c r="L59" s="5"/>
      <c r="M59" s="5"/>
      <c r="N59" s="5"/>
      <c r="O59" s="5"/>
      <c r="P59" s="5"/>
      <c r="Q59" s="5"/>
      <c r="R59" s="5"/>
      <c r="S59" s="5"/>
      <c r="T59" s="5"/>
      <c r="U59" s="5"/>
      <c r="V59" s="5"/>
      <c r="W59" s="5"/>
      <c r="X59" s="5"/>
      <c r="Y59" s="5"/>
      <c r="Z59" s="5"/>
      <c r="AA59" s="5"/>
    </row>
    <row r="60">
      <c r="A60" s="46"/>
      <c r="B60" s="46"/>
      <c r="C60" s="46"/>
      <c r="D60" s="46"/>
      <c r="E60" s="46"/>
      <c r="F60" s="76"/>
      <c r="G60" s="5"/>
      <c r="H60" s="5"/>
      <c r="I60" s="5"/>
      <c r="J60" s="5"/>
      <c r="K60" s="5"/>
      <c r="L60" s="5"/>
      <c r="M60" s="5"/>
      <c r="N60" s="5"/>
      <c r="O60" s="5"/>
      <c r="P60" s="5"/>
      <c r="Q60" s="5"/>
      <c r="R60" s="5"/>
      <c r="S60" s="5"/>
      <c r="T60" s="5"/>
      <c r="U60" s="5"/>
      <c r="V60" s="5"/>
      <c r="W60" s="5"/>
      <c r="X60" s="5"/>
      <c r="Y60" s="5"/>
      <c r="Z60" s="5"/>
      <c r="AA60" s="5"/>
    </row>
    <row r="61">
      <c r="A61" s="46"/>
      <c r="B61" s="46"/>
      <c r="C61" s="46"/>
      <c r="D61" s="46"/>
      <c r="E61" s="46"/>
      <c r="F61" s="76"/>
      <c r="G61" s="5"/>
      <c r="H61" s="5"/>
      <c r="I61" s="5"/>
      <c r="J61" s="5"/>
      <c r="K61" s="5"/>
      <c r="L61" s="5"/>
      <c r="M61" s="5"/>
      <c r="N61" s="5"/>
      <c r="O61" s="5"/>
      <c r="P61" s="5"/>
      <c r="Q61" s="5"/>
      <c r="R61" s="5"/>
      <c r="S61" s="5"/>
      <c r="T61" s="5"/>
      <c r="U61" s="5"/>
      <c r="V61" s="5"/>
      <c r="W61" s="5"/>
      <c r="X61" s="5"/>
      <c r="Y61" s="5"/>
      <c r="Z61" s="5"/>
      <c r="AA61" s="5"/>
    </row>
    <row r="62">
      <c r="A62" s="46"/>
      <c r="B62" s="46"/>
      <c r="C62" s="46"/>
      <c r="D62" s="46"/>
      <c r="E62" s="46"/>
      <c r="F62" s="76"/>
      <c r="G62" s="5"/>
      <c r="H62" s="5"/>
      <c r="I62" s="5"/>
      <c r="J62" s="5"/>
      <c r="K62" s="5"/>
      <c r="L62" s="5"/>
      <c r="M62" s="5"/>
      <c r="N62" s="5"/>
      <c r="O62" s="5"/>
      <c r="P62" s="5"/>
      <c r="Q62" s="5"/>
      <c r="R62" s="5"/>
      <c r="S62" s="5"/>
      <c r="T62" s="5"/>
      <c r="U62" s="5"/>
      <c r="V62" s="5"/>
      <c r="W62" s="5"/>
      <c r="X62" s="5"/>
      <c r="Y62" s="5"/>
      <c r="Z62" s="5"/>
      <c r="AA62" s="5"/>
    </row>
    <row r="63">
      <c r="A63" s="46"/>
      <c r="B63" s="46"/>
      <c r="C63" s="46"/>
      <c r="D63" s="46"/>
      <c r="E63" s="46"/>
      <c r="F63" s="76"/>
      <c r="G63" s="5"/>
      <c r="H63" s="5"/>
      <c r="I63" s="5"/>
      <c r="J63" s="5"/>
      <c r="K63" s="5"/>
      <c r="L63" s="5"/>
      <c r="M63" s="5"/>
      <c r="N63" s="5"/>
      <c r="O63" s="5"/>
      <c r="P63" s="5"/>
      <c r="Q63" s="5"/>
      <c r="R63" s="5"/>
      <c r="S63" s="5"/>
      <c r="T63" s="5"/>
      <c r="U63" s="5"/>
      <c r="V63" s="5"/>
      <c r="W63" s="5"/>
      <c r="X63" s="5"/>
      <c r="Y63" s="5"/>
      <c r="Z63" s="5"/>
      <c r="AA63" s="5"/>
    </row>
    <row r="64">
      <c r="A64" s="46"/>
      <c r="B64" s="46"/>
      <c r="C64" s="46"/>
      <c r="D64" s="46"/>
      <c r="E64" s="46"/>
      <c r="F64" s="76"/>
      <c r="G64" s="5"/>
      <c r="H64" s="5"/>
      <c r="I64" s="5"/>
      <c r="J64" s="5"/>
      <c r="K64" s="5"/>
      <c r="L64" s="5"/>
      <c r="M64" s="5"/>
      <c r="N64" s="5"/>
      <c r="O64" s="5"/>
      <c r="P64" s="5"/>
      <c r="Q64" s="5"/>
      <c r="R64" s="5"/>
      <c r="S64" s="5"/>
      <c r="T64" s="5"/>
      <c r="U64" s="5"/>
      <c r="V64" s="5"/>
      <c r="W64" s="5"/>
      <c r="X64" s="5"/>
      <c r="Y64" s="5"/>
      <c r="Z64" s="5"/>
      <c r="AA64" s="5"/>
    </row>
    <row r="65">
      <c r="A65" s="46"/>
      <c r="B65" s="46"/>
      <c r="C65" s="46"/>
      <c r="D65" s="46"/>
      <c r="E65" s="46"/>
      <c r="F65" s="76"/>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76"/>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c r="J1" s="13"/>
      <c r="K1" s="5"/>
      <c r="L1" s="5"/>
      <c r="M1" s="5"/>
      <c r="N1" s="5"/>
      <c r="O1" s="5"/>
      <c r="P1" s="5"/>
      <c r="Q1" s="5"/>
      <c r="R1" s="5"/>
      <c r="S1" s="5"/>
      <c r="T1" s="5"/>
      <c r="U1" s="5"/>
      <c r="V1" s="5"/>
      <c r="W1" s="5"/>
      <c r="X1" s="5"/>
      <c r="Y1" s="5"/>
      <c r="Z1" s="5"/>
      <c r="AA1" s="5"/>
    </row>
    <row r="2">
      <c r="A2" s="5" t="s">
        <v>93</v>
      </c>
      <c r="B2" s="5" t="s">
        <v>108</v>
      </c>
      <c r="C2" s="25">
        <f t="shared" ref="C2:C6" si="1">COUNTIF(I:I,A2)</f>
        <v>0</v>
      </c>
      <c r="D2" s="17">
        <f t="shared" ref="D2:D6" si="2">C2/COUNTA(I$2:I1000)</f>
        <v>0</v>
      </c>
      <c r="E2" s="83">
        <v>1.593104923E9</v>
      </c>
      <c r="F2" s="68">
        <f>IFERROR(__xludf.DUMMYFUNCTION("INDEX(SPLIT(E2, char(10)), 0, 1)/86400+date(1970,1,1)"),44007.71438657407)</f>
        <v>44007.71439</v>
      </c>
      <c r="G2" s="84" t="s">
        <v>1123</v>
      </c>
      <c r="H2" s="84" t="s">
        <v>1124</v>
      </c>
      <c r="I2" s="46" t="s">
        <v>14</v>
      </c>
      <c r="J2" s="5"/>
      <c r="K2" s="5"/>
      <c r="L2" s="5"/>
      <c r="M2" s="5"/>
      <c r="N2" s="5"/>
      <c r="O2" s="5"/>
      <c r="P2" s="5"/>
      <c r="Q2" s="5"/>
      <c r="R2" s="5"/>
      <c r="S2" s="5"/>
      <c r="T2" s="5"/>
      <c r="U2" s="5"/>
      <c r="V2" s="5"/>
      <c r="W2" s="5"/>
      <c r="X2" s="5"/>
      <c r="Y2" s="5"/>
      <c r="Z2" s="5"/>
      <c r="AA2" s="5"/>
    </row>
    <row r="3">
      <c r="A3" s="5" t="s">
        <v>11</v>
      </c>
      <c r="B3" s="5" t="s">
        <v>111</v>
      </c>
      <c r="C3" s="25">
        <f t="shared" si="1"/>
        <v>3</v>
      </c>
      <c r="D3" s="17">
        <f t="shared" si="2"/>
        <v>0.1034482759</v>
      </c>
      <c r="E3" s="83">
        <v>1.593105077E9</v>
      </c>
      <c r="F3" s="68">
        <f>IFERROR(__xludf.DUMMYFUNCTION("INDEX(SPLIT(E3, char(10)), 0, 1)/86400+date(1970,1,1)"),44007.71616898148)</f>
        <v>44007.71617</v>
      </c>
      <c r="G3" s="84" t="s">
        <v>1125</v>
      </c>
      <c r="H3" s="84" t="s">
        <v>1126</v>
      </c>
      <c r="I3" s="46" t="s">
        <v>13</v>
      </c>
      <c r="J3" s="5"/>
      <c r="K3" s="5"/>
      <c r="L3" s="5"/>
      <c r="M3" s="5"/>
      <c r="N3" s="5"/>
      <c r="O3" s="5"/>
      <c r="P3" s="5"/>
      <c r="Q3" s="5"/>
      <c r="R3" s="5"/>
      <c r="S3" s="5"/>
      <c r="T3" s="5"/>
      <c r="U3" s="5"/>
      <c r="V3" s="5"/>
      <c r="W3" s="5"/>
      <c r="X3" s="5"/>
      <c r="Y3" s="5"/>
      <c r="Z3" s="5"/>
      <c r="AA3" s="5"/>
    </row>
    <row r="4">
      <c r="A4" s="5" t="s">
        <v>12</v>
      </c>
      <c r="B4" s="5" t="s">
        <v>114</v>
      </c>
      <c r="C4" s="25">
        <f t="shared" si="1"/>
        <v>5</v>
      </c>
      <c r="D4" s="17">
        <f t="shared" si="2"/>
        <v>0.1724137931</v>
      </c>
      <c r="E4" s="83">
        <v>1.593105181E9</v>
      </c>
      <c r="F4" s="68">
        <f>IFERROR(__xludf.DUMMYFUNCTION("INDEX(SPLIT(E4, char(10)), 0, 1)/86400+date(1970,1,1)"),44007.71737268519)</f>
        <v>44007.71737</v>
      </c>
      <c r="G4" s="84" t="s">
        <v>1127</v>
      </c>
      <c r="H4" s="84" t="s">
        <v>1128</v>
      </c>
      <c r="I4" s="46" t="s">
        <v>14</v>
      </c>
      <c r="J4" s="5"/>
      <c r="K4" s="5"/>
      <c r="L4" s="5"/>
      <c r="M4" s="5"/>
      <c r="N4" s="5"/>
      <c r="O4" s="5"/>
      <c r="P4" s="5"/>
      <c r="Q4" s="5"/>
      <c r="R4" s="5"/>
      <c r="S4" s="5"/>
      <c r="T4" s="5"/>
      <c r="U4" s="5"/>
      <c r="V4" s="5"/>
      <c r="W4" s="5"/>
      <c r="X4" s="5"/>
      <c r="Y4" s="5"/>
      <c r="Z4" s="5"/>
      <c r="AA4" s="5"/>
    </row>
    <row r="5">
      <c r="A5" s="5" t="s">
        <v>13</v>
      </c>
      <c r="B5" s="5" t="s">
        <v>117</v>
      </c>
      <c r="C5" s="25">
        <f t="shared" si="1"/>
        <v>11</v>
      </c>
      <c r="D5" s="17">
        <f t="shared" si="2"/>
        <v>0.3793103448</v>
      </c>
      <c r="E5" s="83">
        <v>1.59310528E9</v>
      </c>
      <c r="F5" s="68">
        <f>IFERROR(__xludf.DUMMYFUNCTION("INDEX(SPLIT(E5, char(10)), 0, 1)/86400+date(1970,1,1)"),44007.71851851852)</f>
        <v>44007.71852</v>
      </c>
      <c r="G5" s="84" t="s">
        <v>947</v>
      </c>
      <c r="H5" s="84" t="s">
        <v>1129</v>
      </c>
      <c r="I5" s="46" t="s">
        <v>14</v>
      </c>
      <c r="J5" s="5"/>
      <c r="K5" s="5"/>
      <c r="L5" s="5"/>
      <c r="M5" s="5"/>
      <c r="N5" s="5"/>
      <c r="O5" s="5"/>
      <c r="P5" s="5"/>
      <c r="Q5" s="5"/>
      <c r="R5" s="5"/>
      <c r="S5" s="5"/>
      <c r="T5" s="5"/>
      <c r="U5" s="5"/>
      <c r="V5" s="5"/>
      <c r="W5" s="5"/>
      <c r="X5" s="5"/>
      <c r="Y5" s="5"/>
      <c r="Z5" s="5"/>
      <c r="AA5" s="5"/>
    </row>
    <row r="6">
      <c r="A6" s="5" t="s">
        <v>14</v>
      </c>
      <c r="B6" s="5" t="s">
        <v>120</v>
      </c>
      <c r="C6" s="25">
        <f t="shared" si="1"/>
        <v>10</v>
      </c>
      <c r="D6" s="17">
        <f t="shared" si="2"/>
        <v>0.3448275862</v>
      </c>
      <c r="E6" s="83">
        <v>1.593105649E9</v>
      </c>
      <c r="F6" s="68">
        <f>IFERROR(__xludf.DUMMYFUNCTION("INDEX(SPLIT(E6, char(10)), 0, 1)/86400+date(1970,1,1)"),44007.72278935185)</f>
        <v>44007.72279</v>
      </c>
      <c r="G6" s="84" t="s">
        <v>1130</v>
      </c>
      <c r="H6" s="84" t="s">
        <v>1131</v>
      </c>
      <c r="I6" s="46" t="s">
        <v>13</v>
      </c>
      <c r="J6" s="5"/>
      <c r="K6" s="5"/>
      <c r="L6" s="5"/>
      <c r="M6" s="5"/>
      <c r="N6" s="5"/>
      <c r="O6" s="5"/>
      <c r="P6" s="5"/>
      <c r="Q6" s="5"/>
      <c r="R6" s="5"/>
      <c r="S6" s="5"/>
      <c r="T6" s="5"/>
      <c r="U6" s="5"/>
      <c r="V6" s="5"/>
      <c r="W6" s="5"/>
      <c r="X6" s="5"/>
      <c r="Y6" s="5"/>
      <c r="Z6" s="5"/>
      <c r="AA6" s="5"/>
    </row>
    <row r="7">
      <c r="A7" s="5"/>
      <c r="B7" s="5" t="s">
        <v>10</v>
      </c>
      <c r="C7" s="23">
        <f t="shared" ref="C7:D7" si="3">SUM(C2:C6)</f>
        <v>29</v>
      </c>
      <c r="D7" s="70">
        <f t="shared" si="3"/>
        <v>1</v>
      </c>
      <c r="E7" s="83">
        <v>1.593105759E9</v>
      </c>
      <c r="F7" s="68">
        <f>IFERROR(__xludf.DUMMYFUNCTION("INDEX(SPLIT(E7, char(10)), 0, 1)/86400+date(1970,1,1)"),44007.7240625)</f>
        <v>44007.72406</v>
      </c>
      <c r="G7" s="84" t="s">
        <v>1132</v>
      </c>
      <c r="H7" s="84" t="s">
        <v>1133</v>
      </c>
      <c r="I7" s="46" t="s">
        <v>12</v>
      </c>
      <c r="J7" s="5"/>
      <c r="K7" s="5"/>
      <c r="L7" s="5"/>
      <c r="M7" s="5"/>
      <c r="N7" s="5"/>
      <c r="O7" s="5"/>
      <c r="P7" s="5"/>
      <c r="Q7" s="5"/>
      <c r="R7" s="5"/>
      <c r="S7" s="5"/>
      <c r="T7" s="5"/>
      <c r="U7" s="5"/>
      <c r="V7" s="5"/>
      <c r="W7" s="5"/>
      <c r="X7" s="5"/>
      <c r="Y7" s="5"/>
      <c r="Z7" s="5"/>
      <c r="AA7" s="5"/>
    </row>
    <row r="8">
      <c r="A8" s="71"/>
      <c r="B8" s="5" t="s">
        <v>15</v>
      </c>
      <c r="C8" s="25">
        <f t="shared" ref="C8:D8" si="4">SUM(C5:C6)</f>
        <v>21</v>
      </c>
      <c r="D8" s="17">
        <f t="shared" si="4"/>
        <v>0.724137931</v>
      </c>
      <c r="E8" s="83">
        <v>1.593105849E9</v>
      </c>
      <c r="F8" s="68">
        <f>IFERROR(__xludf.DUMMYFUNCTION("INDEX(SPLIT(E8, char(10)), 0, 1)/86400+date(1970,1,1)"),44007.72510416667)</f>
        <v>44007.7251</v>
      </c>
      <c r="G8" s="84" t="s">
        <v>1134</v>
      </c>
      <c r="H8" s="84" t="s">
        <v>1135</v>
      </c>
      <c r="I8" s="46" t="s">
        <v>14</v>
      </c>
      <c r="J8" s="5"/>
      <c r="K8" s="5"/>
      <c r="L8" s="5"/>
      <c r="M8" s="5"/>
      <c r="N8" s="5"/>
      <c r="O8" s="5"/>
      <c r="P8" s="5"/>
      <c r="Q8" s="5"/>
      <c r="R8" s="5"/>
      <c r="S8" s="5"/>
      <c r="T8" s="5"/>
      <c r="U8" s="5"/>
      <c r="V8" s="5"/>
      <c r="W8" s="5"/>
      <c r="X8" s="5"/>
      <c r="Y8" s="5"/>
      <c r="Z8" s="5"/>
      <c r="AA8" s="5"/>
    </row>
    <row r="9">
      <c r="A9" s="71"/>
      <c r="B9" s="5" t="s">
        <v>127</v>
      </c>
      <c r="C9" s="25">
        <f>C2+C5+C6</f>
        <v>21</v>
      </c>
      <c r="D9" s="17">
        <f>SUM(D5:D6) + D2</f>
        <v>0.724137931</v>
      </c>
      <c r="E9" s="83">
        <v>1.593105943E9</v>
      </c>
      <c r="F9" s="68">
        <f>IFERROR(__xludf.DUMMYFUNCTION("INDEX(SPLIT(E9, char(10)), 0, 1)/86400+date(1970,1,1)"),44007.72619212963)</f>
        <v>44007.72619</v>
      </c>
      <c r="G9" s="84" t="s">
        <v>1136</v>
      </c>
      <c r="H9" s="84" t="s">
        <v>1137</v>
      </c>
      <c r="I9" s="46" t="s">
        <v>12</v>
      </c>
      <c r="J9" s="5"/>
      <c r="K9" s="5"/>
      <c r="L9" s="5"/>
      <c r="M9" s="5"/>
      <c r="N9" s="5"/>
      <c r="O9" s="5"/>
      <c r="P9" s="5"/>
      <c r="Q9" s="5"/>
      <c r="R9" s="5"/>
      <c r="S9" s="5"/>
      <c r="T9" s="5"/>
      <c r="U9" s="5"/>
      <c r="V9" s="5"/>
      <c r="W9" s="5"/>
      <c r="X9" s="5"/>
      <c r="Y9" s="5"/>
      <c r="Z9" s="5"/>
      <c r="AA9" s="5"/>
    </row>
    <row r="10">
      <c r="A10" s="71"/>
      <c r="B10" s="71"/>
      <c r="C10" s="71"/>
      <c r="D10" s="71"/>
      <c r="E10" s="83">
        <v>1.593106053E9</v>
      </c>
      <c r="F10" s="68">
        <f>IFERROR(__xludf.DUMMYFUNCTION("INDEX(SPLIT(E10, char(10)), 0, 1)/86400+date(1970,1,1)"),44007.72746527778)</f>
        <v>44007.72747</v>
      </c>
      <c r="G10" s="84" t="s">
        <v>1138</v>
      </c>
      <c r="H10" s="84" t="s">
        <v>1139</v>
      </c>
      <c r="I10" s="46" t="s">
        <v>14</v>
      </c>
      <c r="J10" s="5"/>
      <c r="K10" s="5"/>
      <c r="L10" s="5"/>
      <c r="M10" s="5"/>
      <c r="N10" s="5"/>
      <c r="O10" s="5"/>
      <c r="P10" s="5"/>
      <c r="Q10" s="5"/>
      <c r="R10" s="5"/>
      <c r="S10" s="5"/>
      <c r="T10" s="5"/>
      <c r="U10" s="5"/>
      <c r="V10" s="5"/>
      <c r="W10" s="5"/>
      <c r="X10" s="5"/>
      <c r="Y10" s="5"/>
      <c r="Z10" s="5"/>
      <c r="AA10" s="5"/>
    </row>
    <row r="11">
      <c r="A11" s="71"/>
      <c r="B11" s="71"/>
      <c r="C11" s="71"/>
      <c r="D11" s="71"/>
      <c r="E11" s="83">
        <v>1.593106158E9</v>
      </c>
      <c r="F11" s="68">
        <f>IFERROR(__xludf.DUMMYFUNCTION("INDEX(SPLIT(E11, char(10)), 0, 1)/86400+date(1970,1,1)"),44007.728680555556)</f>
        <v>44007.72868</v>
      </c>
      <c r="G11" s="84" t="s">
        <v>1140</v>
      </c>
      <c r="H11" s="84" t="s">
        <v>1141</v>
      </c>
      <c r="I11" s="46" t="s">
        <v>14</v>
      </c>
      <c r="J11" s="5"/>
      <c r="K11" s="5"/>
      <c r="L11" s="5"/>
      <c r="M11" s="5"/>
      <c r="N11" s="5"/>
      <c r="O11" s="5"/>
      <c r="P11" s="5"/>
      <c r="Q11" s="5"/>
      <c r="R11" s="5"/>
      <c r="S11" s="5"/>
      <c r="T11" s="5"/>
      <c r="U11" s="5"/>
      <c r="V11" s="5"/>
      <c r="W11" s="5"/>
      <c r="X11" s="5"/>
      <c r="Y11" s="5"/>
      <c r="Z11" s="5"/>
      <c r="AA11" s="5"/>
    </row>
    <row r="12">
      <c r="A12" s="13" t="s">
        <v>134</v>
      </c>
      <c r="B12" s="85" t="s">
        <v>1142</v>
      </c>
      <c r="C12" s="71"/>
      <c r="D12" s="71"/>
      <c r="E12" s="83">
        <v>1.593106287E9</v>
      </c>
      <c r="F12" s="68">
        <f>IFERROR(__xludf.DUMMYFUNCTION("INDEX(SPLIT(E12, char(10)), 0, 1)/86400+date(1970,1,1)"),44007.73017361111)</f>
        <v>44007.73017</v>
      </c>
      <c r="G12" s="84" t="s">
        <v>1143</v>
      </c>
      <c r="H12" s="84" t="s">
        <v>1144</v>
      </c>
      <c r="I12" s="46" t="s">
        <v>12</v>
      </c>
      <c r="J12" s="5"/>
      <c r="K12" s="5"/>
      <c r="L12" s="5"/>
      <c r="M12" s="5"/>
      <c r="N12" s="5"/>
      <c r="O12" s="5"/>
      <c r="P12" s="5"/>
      <c r="Q12" s="5"/>
      <c r="R12" s="5"/>
      <c r="S12" s="5"/>
      <c r="T12" s="5"/>
      <c r="U12" s="5"/>
      <c r="V12" s="5"/>
      <c r="W12" s="5"/>
      <c r="X12" s="5"/>
      <c r="Y12" s="5"/>
      <c r="Z12" s="5"/>
      <c r="AA12" s="5"/>
    </row>
    <row r="13">
      <c r="A13" s="13" t="s">
        <v>138</v>
      </c>
      <c r="B13" s="71"/>
      <c r="C13" s="13" t="s">
        <v>101</v>
      </c>
      <c r="D13" s="13" t="s">
        <v>102</v>
      </c>
      <c r="E13" s="83">
        <v>1.59310687E9</v>
      </c>
      <c r="F13" s="68">
        <f>IFERROR(__xludf.DUMMYFUNCTION("INDEX(SPLIT(E13, char(10)), 0, 1)/86400+date(1970,1,1)"),44007.736921296295)</f>
        <v>44007.73692</v>
      </c>
      <c r="G13" s="84" t="s">
        <v>1145</v>
      </c>
      <c r="H13" s="84" t="s">
        <v>1146</v>
      </c>
      <c r="I13" s="46" t="s">
        <v>11</v>
      </c>
      <c r="J13" s="5"/>
      <c r="K13" s="5"/>
      <c r="L13" s="5"/>
      <c r="M13" s="5"/>
      <c r="N13" s="5"/>
      <c r="O13" s="5"/>
      <c r="P13" s="5"/>
      <c r="Q13" s="5"/>
      <c r="R13" s="5"/>
      <c r="S13" s="5"/>
      <c r="T13" s="5"/>
      <c r="U13" s="5"/>
      <c r="V13" s="5"/>
      <c r="W13" s="5"/>
      <c r="X13" s="5"/>
      <c r="Y13" s="5"/>
      <c r="Z13" s="5"/>
      <c r="AA13" s="5"/>
    </row>
    <row r="14">
      <c r="A14" s="5" t="s">
        <v>141</v>
      </c>
      <c r="B14" s="5" t="s">
        <v>142</v>
      </c>
      <c r="C14" s="23">
        <f t="shared" ref="C14:C17" si="5">COUNTIF($A$19:$A1000, A14)</f>
        <v>3</v>
      </c>
      <c r="D14" s="17">
        <f>IFERROR(__xludf.DUMMYFUNCTION("IF(C14, COUNTIF(FILTER($D$19:$D1000, $A$19:$A1000=A14), TRUE)/C14, 0)"),0.6666666666666666)</f>
        <v>0.6666666667</v>
      </c>
      <c r="E14" s="83">
        <v>1.593106965E9</v>
      </c>
      <c r="F14" s="68">
        <f>IFERROR(__xludf.DUMMYFUNCTION("INDEX(SPLIT(E14, char(10)), 0, 1)/86400+date(1970,1,1)"),44007.738020833334)</f>
        <v>44007.73802</v>
      </c>
      <c r="G14" s="84" t="s">
        <v>1147</v>
      </c>
      <c r="H14" s="84" t="s">
        <v>1148</v>
      </c>
      <c r="I14" s="46" t="s">
        <v>14</v>
      </c>
      <c r="J14" s="5"/>
      <c r="K14" s="5"/>
      <c r="L14" s="5"/>
      <c r="M14" s="5"/>
      <c r="N14" s="5"/>
      <c r="O14" s="5"/>
      <c r="P14" s="5"/>
      <c r="Q14" s="5"/>
      <c r="R14" s="5"/>
      <c r="S14" s="5"/>
      <c r="T14" s="5"/>
      <c r="U14" s="5"/>
      <c r="V14" s="5"/>
      <c r="W14" s="5"/>
      <c r="X14" s="5"/>
      <c r="Y14" s="5"/>
      <c r="Z14" s="5"/>
      <c r="AA14" s="5"/>
    </row>
    <row r="15">
      <c r="A15" s="5" t="s">
        <v>3</v>
      </c>
      <c r="B15" s="5" t="s">
        <v>145</v>
      </c>
      <c r="C15" s="23">
        <f t="shared" si="5"/>
        <v>3</v>
      </c>
      <c r="D15" s="17">
        <f>IFERROR(__xludf.DUMMYFUNCTION("IF(C15, COUNTIF(FILTER($D$19:$D1000, $A$19:$A1000=A15), TRUE)/C15, 0)"),1.0)</f>
        <v>1</v>
      </c>
      <c r="E15" s="83">
        <v>1.593107404E9</v>
      </c>
      <c r="F15" s="68">
        <f>IFERROR(__xludf.DUMMYFUNCTION("INDEX(SPLIT(E15, char(10)), 0, 1)/86400+date(1970,1,1)"),44007.743101851855)</f>
        <v>44007.7431</v>
      </c>
      <c r="G15" s="84" t="s">
        <v>1149</v>
      </c>
      <c r="H15" s="84" t="s">
        <v>1150</v>
      </c>
      <c r="I15" s="46" t="s">
        <v>13</v>
      </c>
      <c r="J15" s="5"/>
      <c r="K15" s="5"/>
      <c r="L15" s="5"/>
      <c r="M15" s="5"/>
      <c r="N15" s="5"/>
      <c r="O15" s="5"/>
      <c r="P15" s="5"/>
      <c r="Q15" s="5"/>
      <c r="R15" s="5"/>
      <c r="S15" s="5"/>
      <c r="T15" s="5"/>
      <c r="U15" s="5"/>
      <c r="V15" s="5"/>
      <c r="W15" s="5"/>
      <c r="X15" s="5"/>
      <c r="Y15" s="5"/>
      <c r="Z15" s="5"/>
      <c r="AA15" s="5"/>
    </row>
    <row r="16">
      <c r="A16" s="5" t="s">
        <v>4</v>
      </c>
      <c r="B16" s="5" t="s">
        <v>148</v>
      </c>
      <c r="C16" s="23">
        <f t="shared" si="5"/>
        <v>4</v>
      </c>
      <c r="D16" s="17">
        <f>IFERROR(__xludf.DUMMYFUNCTION("IF(C16, COUNTIF(FILTER($D$19:$D1000, $A$19:$A1000=A16), TRUE)/C16, 0)"),0.75)</f>
        <v>0.75</v>
      </c>
      <c r="E16" s="83">
        <v>1.593107631E9</v>
      </c>
      <c r="F16" s="68">
        <f>IFERROR(__xludf.DUMMYFUNCTION("INDEX(SPLIT(E16, char(10)), 0, 1)/86400+date(1970,1,1)"),44007.745729166665)</f>
        <v>44007.74573</v>
      </c>
      <c r="G16" s="84" t="s">
        <v>1151</v>
      </c>
      <c r="H16" s="84" t="s">
        <v>1152</v>
      </c>
      <c r="I16" s="46" t="s">
        <v>12</v>
      </c>
      <c r="J16" s="5"/>
      <c r="K16" s="5"/>
      <c r="L16" s="5"/>
      <c r="M16" s="5"/>
      <c r="N16" s="5"/>
      <c r="O16" s="5"/>
      <c r="P16" s="5"/>
      <c r="Q16" s="5"/>
      <c r="R16" s="5"/>
      <c r="S16" s="5"/>
      <c r="T16" s="5"/>
      <c r="U16" s="5"/>
      <c r="V16" s="5"/>
      <c r="W16" s="5"/>
      <c r="X16" s="5"/>
      <c r="Y16" s="5"/>
      <c r="Z16" s="5"/>
      <c r="AA16" s="5"/>
    </row>
    <row r="17">
      <c r="A17" s="5" t="s">
        <v>5</v>
      </c>
      <c r="B17" s="5" t="s">
        <v>151</v>
      </c>
      <c r="C17" s="23">
        <f t="shared" si="5"/>
        <v>8</v>
      </c>
      <c r="D17" s="17">
        <f>IFERROR(__xludf.DUMMYFUNCTION("IF(C17, COUNTIF(FILTER($D$19:$D1000, $A$19:$A1000=A17), TRUE)/C17, 0)"),0.5)</f>
        <v>0.5</v>
      </c>
      <c r="E17" s="83">
        <v>1.59310832E9</v>
      </c>
      <c r="F17" s="68">
        <f>IFERROR(__xludf.DUMMYFUNCTION("INDEX(SPLIT(E17, char(10)), 0, 1)/86400+date(1970,1,1)"),44007.753703703704)</f>
        <v>44007.7537</v>
      </c>
      <c r="G17" s="84" t="s">
        <v>1153</v>
      </c>
      <c r="H17" s="84" t="s">
        <v>1154</v>
      </c>
      <c r="I17" s="46" t="s">
        <v>13</v>
      </c>
      <c r="J17" s="5"/>
      <c r="K17" s="5"/>
      <c r="L17" s="5"/>
      <c r="M17" s="5"/>
      <c r="N17" s="5"/>
      <c r="O17" s="5"/>
      <c r="P17" s="5"/>
      <c r="Q17" s="5"/>
      <c r="R17" s="5"/>
      <c r="S17" s="5"/>
      <c r="T17" s="5"/>
      <c r="U17" s="5"/>
      <c r="V17" s="5"/>
      <c r="W17" s="5"/>
      <c r="X17" s="5"/>
      <c r="Y17" s="5"/>
      <c r="Z17" s="5"/>
      <c r="AA17" s="5"/>
    </row>
    <row r="18">
      <c r="A18" s="71"/>
      <c r="B18" s="13" t="s">
        <v>6</v>
      </c>
      <c r="C18" s="23">
        <f>SUM(C14:C17)</f>
        <v>18</v>
      </c>
      <c r="D18" s="17">
        <f>COUNTIF($D$19:$D1000, TRUE)/SUM($C$14:$C$17)</f>
        <v>0.6666666667</v>
      </c>
      <c r="E18" s="83">
        <v>1.593108446E9</v>
      </c>
      <c r="F18" s="68">
        <f>IFERROR(__xludf.DUMMYFUNCTION("INDEX(SPLIT(E18, char(10)), 0, 1)/86400+date(1970,1,1)"),44007.755162037036)</f>
        <v>44007.75516</v>
      </c>
      <c r="G18" s="84" t="s">
        <v>1155</v>
      </c>
      <c r="H18" s="84" t="s">
        <v>1156</v>
      </c>
      <c r="I18" s="46" t="s">
        <v>13</v>
      </c>
      <c r="J18" s="5"/>
      <c r="K18" s="5"/>
      <c r="L18" s="5"/>
      <c r="M18" s="5"/>
      <c r="N18" s="5"/>
      <c r="O18" s="5"/>
      <c r="P18" s="5"/>
      <c r="Q18" s="5"/>
      <c r="R18" s="5"/>
      <c r="S18" s="5"/>
      <c r="T18" s="5"/>
      <c r="U18" s="5"/>
      <c r="V18" s="5"/>
      <c r="W18" s="5"/>
      <c r="X18" s="5"/>
      <c r="Y18" s="5"/>
      <c r="Z18" s="5"/>
      <c r="AA18" s="5"/>
    </row>
    <row r="19">
      <c r="A19" s="5" t="s">
        <v>4</v>
      </c>
      <c r="B19" s="5" t="s">
        <v>161</v>
      </c>
      <c r="C19" s="25">
        <v>1.0</v>
      </c>
      <c r="D19" s="79" t="b">
        <v>0</v>
      </c>
      <c r="E19" s="83">
        <v>1.59310944E9</v>
      </c>
      <c r="F19" s="68">
        <f>IFERROR(__xludf.DUMMYFUNCTION("INDEX(SPLIT(E19, char(10)), 0, 1)/86400+date(1970,1,1)"),44007.76666666666)</f>
        <v>44007.76667</v>
      </c>
      <c r="G19" s="84" t="s">
        <v>669</v>
      </c>
      <c r="H19" s="84" t="s">
        <v>1157</v>
      </c>
      <c r="I19" s="46" t="s">
        <v>12</v>
      </c>
      <c r="J19" s="5"/>
      <c r="K19" s="5"/>
      <c r="L19" s="5"/>
      <c r="M19" s="5"/>
      <c r="N19" s="5"/>
      <c r="O19" s="5"/>
      <c r="P19" s="5"/>
      <c r="Q19" s="5"/>
      <c r="R19" s="5"/>
      <c r="S19" s="5"/>
      <c r="T19" s="5"/>
      <c r="U19" s="5"/>
      <c r="V19" s="5"/>
      <c r="W19" s="5"/>
      <c r="X19" s="5"/>
      <c r="Y19" s="5"/>
      <c r="Z19" s="5"/>
      <c r="AA19" s="5"/>
    </row>
    <row r="20">
      <c r="A20" s="5" t="s">
        <v>141</v>
      </c>
      <c r="B20" s="5" t="s">
        <v>893</v>
      </c>
      <c r="C20" s="25">
        <v>8.0</v>
      </c>
      <c r="D20" s="79" t="b">
        <v>0</v>
      </c>
      <c r="E20" s="83">
        <v>1.593109672E9</v>
      </c>
      <c r="F20" s="68">
        <f>IFERROR(__xludf.DUMMYFUNCTION("INDEX(SPLIT(E20, char(10)), 0, 1)/86400+date(1970,1,1)"),44007.76935185185)</f>
        <v>44007.76935</v>
      </c>
      <c r="G20" s="84" t="s">
        <v>1158</v>
      </c>
      <c r="H20" s="84" t="s">
        <v>1159</v>
      </c>
      <c r="I20" s="46" t="s">
        <v>13</v>
      </c>
      <c r="J20" s="5"/>
      <c r="K20" s="5"/>
      <c r="L20" s="5"/>
      <c r="M20" s="5"/>
      <c r="N20" s="5"/>
      <c r="O20" s="5"/>
      <c r="P20" s="5"/>
      <c r="Q20" s="5"/>
      <c r="R20" s="5"/>
      <c r="S20" s="5"/>
      <c r="T20" s="5"/>
      <c r="U20" s="5"/>
      <c r="V20" s="5"/>
      <c r="W20" s="5"/>
      <c r="X20" s="5"/>
      <c r="Y20" s="5"/>
      <c r="Z20" s="5"/>
      <c r="AA20" s="5"/>
    </row>
    <row r="21">
      <c r="A21" s="5" t="s">
        <v>3</v>
      </c>
      <c r="B21" s="5" t="s">
        <v>896</v>
      </c>
      <c r="C21" s="25">
        <v>11.0</v>
      </c>
      <c r="D21" s="79" t="b">
        <v>1</v>
      </c>
      <c r="E21" s="83">
        <v>1.593109835E9</v>
      </c>
      <c r="F21" s="68">
        <f>IFERROR(__xludf.DUMMYFUNCTION("INDEX(SPLIT(E21, char(10)), 0, 1)/86400+date(1970,1,1)"),44007.77123842592)</f>
        <v>44007.77124</v>
      </c>
      <c r="G21" s="84" t="s">
        <v>1160</v>
      </c>
      <c r="H21" s="84" t="s">
        <v>1161</v>
      </c>
      <c r="I21" s="46" t="s">
        <v>13</v>
      </c>
      <c r="J21" s="5"/>
      <c r="K21" s="5"/>
      <c r="L21" s="5"/>
      <c r="M21" s="5"/>
      <c r="N21" s="5"/>
      <c r="O21" s="5"/>
      <c r="P21" s="5"/>
      <c r="Q21" s="5"/>
      <c r="R21" s="5"/>
      <c r="S21" s="5"/>
      <c r="T21" s="5"/>
      <c r="U21" s="5"/>
      <c r="V21" s="5"/>
      <c r="W21" s="5"/>
      <c r="X21" s="5"/>
      <c r="Y21" s="5"/>
      <c r="Z21" s="5"/>
      <c r="AA21" s="5"/>
    </row>
    <row r="22">
      <c r="A22" s="5" t="s">
        <v>141</v>
      </c>
      <c r="B22" s="5" t="s">
        <v>899</v>
      </c>
      <c r="C22" s="25">
        <v>20.0</v>
      </c>
      <c r="D22" s="79" t="b">
        <v>1</v>
      </c>
      <c r="E22" s="83">
        <v>1.593109967E9</v>
      </c>
      <c r="F22" s="68">
        <f>IFERROR(__xludf.DUMMYFUNCTION("INDEX(SPLIT(E22, char(10)), 0, 1)/86400+date(1970,1,1)"),44007.77276620371)</f>
        <v>44007.77277</v>
      </c>
      <c r="G22" s="84" t="s">
        <v>1162</v>
      </c>
      <c r="H22" s="84" t="s">
        <v>1163</v>
      </c>
      <c r="I22" s="46" t="s">
        <v>14</v>
      </c>
      <c r="J22" s="5"/>
      <c r="K22" s="5"/>
      <c r="L22" s="5"/>
      <c r="M22" s="5"/>
      <c r="N22" s="5"/>
      <c r="O22" s="5"/>
      <c r="P22" s="5"/>
      <c r="Q22" s="5"/>
      <c r="R22" s="5"/>
      <c r="S22" s="5"/>
      <c r="T22" s="5"/>
      <c r="U22" s="5"/>
      <c r="V22" s="5"/>
      <c r="W22" s="5"/>
      <c r="X22" s="5"/>
      <c r="Y22" s="5"/>
      <c r="Z22" s="5"/>
      <c r="AA22" s="5"/>
    </row>
    <row r="23">
      <c r="A23" s="5" t="s">
        <v>4</v>
      </c>
      <c r="B23" s="5" t="s">
        <v>167</v>
      </c>
      <c r="C23" s="25">
        <v>45.0</v>
      </c>
      <c r="D23" s="79" t="b">
        <v>1</v>
      </c>
      <c r="E23" s="83">
        <v>1.593110189E9</v>
      </c>
      <c r="F23" s="68">
        <f>IFERROR(__xludf.DUMMYFUNCTION("INDEX(SPLIT(E23, char(10)), 0, 1)/86400+date(1970,1,1)"),44007.77533564815)</f>
        <v>44007.77534</v>
      </c>
      <c r="G23" s="84" t="s">
        <v>1164</v>
      </c>
      <c r="H23" s="84" t="s">
        <v>1165</v>
      </c>
      <c r="I23" s="46" t="s">
        <v>14</v>
      </c>
      <c r="J23" s="5"/>
      <c r="K23" s="5"/>
      <c r="L23" s="5"/>
      <c r="M23" s="5"/>
      <c r="N23" s="5"/>
      <c r="O23" s="5"/>
      <c r="P23" s="5"/>
      <c r="Q23" s="5"/>
      <c r="R23" s="5"/>
      <c r="S23" s="5"/>
      <c r="T23" s="5"/>
      <c r="U23" s="5"/>
      <c r="V23" s="5"/>
      <c r="W23" s="5"/>
      <c r="X23" s="5"/>
      <c r="Y23" s="5"/>
      <c r="Z23" s="5"/>
      <c r="AA23" s="5"/>
    </row>
    <row r="24">
      <c r="A24" s="5" t="s">
        <v>4</v>
      </c>
      <c r="B24" s="5" t="s">
        <v>170</v>
      </c>
      <c r="C24" s="25">
        <v>45.0</v>
      </c>
      <c r="D24" s="79" t="b">
        <v>1</v>
      </c>
      <c r="E24" s="83">
        <v>1.593110322E9</v>
      </c>
      <c r="F24" s="68">
        <f>IFERROR(__xludf.DUMMYFUNCTION("INDEX(SPLIT(E24, char(10)), 0, 1)/86400+date(1970,1,1)"),44007.776874999996)</f>
        <v>44007.77688</v>
      </c>
      <c r="G24" s="84" t="s">
        <v>1166</v>
      </c>
      <c r="H24" s="84" t="s">
        <v>1167</v>
      </c>
      <c r="I24" s="46" t="s">
        <v>13</v>
      </c>
      <c r="J24" s="5"/>
      <c r="K24" s="5"/>
      <c r="L24" s="5"/>
      <c r="M24" s="5"/>
      <c r="N24" s="5"/>
      <c r="O24" s="5"/>
      <c r="P24" s="5"/>
      <c r="Q24" s="5"/>
      <c r="R24" s="5"/>
      <c r="S24" s="5"/>
      <c r="T24" s="5"/>
      <c r="U24" s="5"/>
      <c r="V24" s="5"/>
      <c r="W24" s="5"/>
      <c r="X24" s="5"/>
      <c r="Y24" s="5"/>
      <c r="Z24" s="5"/>
      <c r="AA24" s="5"/>
    </row>
    <row r="25">
      <c r="A25" s="5" t="s">
        <v>5</v>
      </c>
      <c r="B25" s="71" t="s">
        <v>906</v>
      </c>
      <c r="C25" s="25">
        <v>46.0</v>
      </c>
      <c r="D25" s="79" t="b">
        <v>1</v>
      </c>
      <c r="E25" s="83">
        <v>1.593110664E9</v>
      </c>
      <c r="F25" s="68">
        <f>IFERROR(__xludf.DUMMYFUNCTION("INDEX(SPLIT(E25, char(10)), 0, 1)/86400+date(1970,1,1)"),44007.78083333334)</f>
        <v>44007.78083</v>
      </c>
      <c r="G25" s="84" t="s">
        <v>1168</v>
      </c>
      <c r="H25" s="84" t="s">
        <v>1169</v>
      </c>
      <c r="I25" s="46" t="s">
        <v>13</v>
      </c>
      <c r="J25" s="5"/>
      <c r="K25" s="5"/>
      <c r="L25" s="5"/>
      <c r="M25" s="5"/>
      <c r="N25" s="5"/>
      <c r="O25" s="5"/>
      <c r="P25" s="5"/>
      <c r="Q25" s="5"/>
      <c r="R25" s="5"/>
      <c r="S25" s="5"/>
      <c r="T25" s="5"/>
      <c r="U25" s="5"/>
      <c r="V25" s="5"/>
      <c r="W25" s="5"/>
      <c r="X25" s="5"/>
      <c r="Y25" s="5"/>
      <c r="Z25" s="5"/>
      <c r="AA25" s="5"/>
    </row>
    <row r="26">
      <c r="A26" s="5" t="s">
        <v>5</v>
      </c>
      <c r="B26" s="71" t="s">
        <v>908</v>
      </c>
      <c r="C26" s="25">
        <v>46.0</v>
      </c>
      <c r="D26" s="79" t="b">
        <v>0</v>
      </c>
      <c r="E26" s="83">
        <v>1.593110769E9</v>
      </c>
      <c r="F26" s="68">
        <f>IFERROR(__xludf.DUMMYFUNCTION("INDEX(SPLIT(E26, char(10)), 0, 1)/86400+date(1970,1,1)"),44007.782048611116)</f>
        <v>44007.78205</v>
      </c>
      <c r="G26" s="84" t="s">
        <v>1170</v>
      </c>
      <c r="H26" s="84" t="s">
        <v>1171</v>
      </c>
      <c r="I26" s="46" t="s">
        <v>13</v>
      </c>
      <c r="J26" s="5"/>
      <c r="K26" s="5"/>
      <c r="L26" s="5"/>
      <c r="M26" s="5"/>
      <c r="N26" s="5"/>
      <c r="O26" s="5"/>
      <c r="P26" s="5"/>
      <c r="Q26" s="5"/>
      <c r="R26" s="5"/>
      <c r="S26" s="5"/>
      <c r="T26" s="5"/>
      <c r="U26" s="5"/>
      <c r="V26" s="5"/>
      <c r="W26" s="5"/>
      <c r="X26" s="5"/>
      <c r="Y26" s="5"/>
      <c r="Z26" s="5"/>
      <c r="AA26" s="5"/>
    </row>
    <row r="27">
      <c r="A27" s="5" t="s">
        <v>3</v>
      </c>
      <c r="B27" s="71" t="s">
        <v>911</v>
      </c>
      <c r="C27" s="25">
        <v>47.0</v>
      </c>
      <c r="D27" s="79" t="b">
        <v>1</v>
      </c>
      <c r="E27" s="83">
        <v>1.593110895E9</v>
      </c>
      <c r="F27" s="68">
        <f>IFERROR(__xludf.DUMMYFUNCTION("INDEX(SPLIT(E27, char(10)), 0, 1)/86400+date(1970,1,1)"),44007.78350694444)</f>
        <v>44007.78351</v>
      </c>
      <c r="G27" s="84" t="s">
        <v>396</v>
      </c>
      <c r="H27" s="84" t="s">
        <v>1172</v>
      </c>
      <c r="I27" s="46" t="s">
        <v>14</v>
      </c>
      <c r="J27" s="5"/>
      <c r="K27" s="5"/>
      <c r="L27" s="5"/>
      <c r="M27" s="5"/>
      <c r="N27" s="5"/>
      <c r="O27" s="5"/>
      <c r="P27" s="5"/>
      <c r="Q27" s="5"/>
      <c r="R27" s="5"/>
      <c r="S27" s="5"/>
      <c r="T27" s="5"/>
      <c r="U27" s="5"/>
      <c r="V27" s="5"/>
      <c r="W27" s="5"/>
      <c r="X27" s="5"/>
      <c r="Y27" s="5"/>
      <c r="Z27" s="5"/>
      <c r="AA27" s="5"/>
    </row>
    <row r="28">
      <c r="A28" s="5" t="s">
        <v>5</v>
      </c>
      <c r="B28" s="71" t="s">
        <v>914</v>
      </c>
      <c r="C28" s="25">
        <v>64.0</v>
      </c>
      <c r="D28" s="79" t="b">
        <v>1</v>
      </c>
      <c r="E28" s="87">
        <v>1.593111086E9</v>
      </c>
      <c r="F28" s="68">
        <f>IFERROR(__xludf.DUMMYFUNCTION("INDEX(SPLIT(E28, char(10)), 0, 1)/86400+date(1970,1,1)"),44007.78571759259)</f>
        <v>44007.78572</v>
      </c>
      <c r="G28" s="84" t="s">
        <v>1173</v>
      </c>
      <c r="H28" s="84" t="s">
        <v>1174</v>
      </c>
      <c r="I28" s="46" t="s">
        <v>11</v>
      </c>
      <c r="J28" s="5"/>
      <c r="K28" s="5"/>
      <c r="L28" s="5"/>
      <c r="M28" s="5"/>
      <c r="N28" s="5"/>
      <c r="O28" s="5"/>
      <c r="P28" s="5"/>
      <c r="Q28" s="5"/>
      <c r="R28" s="5"/>
      <c r="S28" s="5"/>
      <c r="T28" s="5"/>
      <c r="U28" s="5"/>
      <c r="V28" s="5"/>
      <c r="W28" s="5"/>
      <c r="X28" s="5"/>
      <c r="Y28" s="5"/>
      <c r="Z28" s="5"/>
      <c r="AA28" s="5"/>
    </row>
    <row r="29">
      <c r="A29" s="5" t="s">
        <v>5</v>
      </c>
      <c r="B29" s="71" t="s">
        <v>917</v>
      </c>
      <c r="C29" s="25">
        <v>70.0</v>
      </c>
      <c r="D29" s="79" t="b">
        <v>1</v>
      </c>
      <c r="E29" s="78">
        <v>1.593111215E9</v>
      </c>
      <c r="F29" s="68">
        <f>IFERROR(__xludf.DUMMYFUNCTION("INDEX(SPLIT(E29, char(10)), 0, 1)/86400+date(1970,1,1)"),44007.78721064815)</f>
        <v>44007.78721</v>
      </c>
      <c r="G29" s="84" t="s">
        <v>1175</v>
      </c>
      <c r="H29" s="84" t="s">
        <v>1176</v>
      </c>
      <c r="I29" s="46" t="s">
        <v>11</v>
      </c>
      <c r="J29" s="5"/>
      <c r="K29" s="5"/>
      <c r="L29" s="5"/>
      <c r="M29" s="5"/>
      <c r="N29" s="5"/>
      <c r="O29" s="5"/>
      <c r="P29" s="5"/>
      <c r="Q29" s="5"/>
      <c r="R29" s="5"/>
      <c r="S29" s="5"/>
      <c r="T29" s="5"/>
      <c r="U29" s="5"/>
      <c r="V29" s="5"/>
      <c r="W29" s="5"/>
      <c r="X29" s="5"/>
      <c r="Y29" s="5"/>
      <c r="Z29" s="5"/>
      <c r="AA29" s="5"/>
    </row>
    <row r="30">
      <c r="A30" s="5" t="s">
        <v>5</v>
      </c>
      <c r="B30" s="71" t="s">
        <v>920</v>
      </c>
      <c r="C30" s="25">
        <v>79.0</v>
      </c>
      <c r="D30" s="79" t="b">
        <v>1</v>
      </c>
      <c r="E30" s="87">
        <v>1.593111383E9</v>
      </c>
      <c r="F30" s="68">
        <f>IFERROR(__xludf.DUMMYFUNCTION("INDEX(SPLIT(E30, char(10)), 0, 1)/86400+date(1970,1,1)"),44007.78915509259)</f>
        <v>44007.78916</v>
      </c>
      <c r="G30" s="84" t="s">
        <v>1177</v>
      </c>
      <c r="H30" s="84" t="s">
        <v>1178</v>
      </c>
      <c r="I30" s="46" t="s">
        <v>13</v>
      </c>
      <c r="J30" s="5"/>
      <c r="K30" s="5"/>
      <c r="L30" s="5"/>
      <c r="M30" s="5"/>
      <c r="N30" s="5"/>
      <c r="O30" s="5"/>
      <c r="P30" s="5"/>
      <c r="Q30" s="5"/>
      <c r="R30" s="5"/>
      <c r="S30" s="5"/>
      <c r="T30" s="5"/>
      <c r="U30" s="5"/>
      <c r="V30" s="5"/>
      <c r="W30" s="5"/>
      <c r="X30" s="5"/>
      <c r="Y30" s="5"/>
      <c r="Z30" s="5"/>
      <c r="AA30" s="5"/>
    </row>
    <row r="31">
      <c r="A31" s="5" t="s">
        <v>5</v>
      </c>
      <c r="B31" s="71" t="s">
        <v>923</v>
      </c>
      <c r="C31" s="25">
        <v>80.0</v>
      </c>
      <c r="D31" s="79" t="b">
        <v>0</v>
      </c>
      <c r="E31" s="87"/>
      <c r="F31" s="68"/>
      <c r="G31" s="84"/>
      <c r="H31" s="84"/>
      <c r="I31" s="46"/>
      <c r="J31" s="5"/>
      <c r="K31" s="5"/>
      <c r="L31" s="5"/>
      <c r="M31" s="5"/>
      <c r="N31" s="5"/>
      <c r="O31" s="5"/>
      <c r="P31" s="5"/>
      <c r="Q31" s="5"/>
      <c r="R31" s="5"/>
      <c r="S31" s="5"/>
      <c r="T31" s="5"/>
      <c r="U31" s="5"/>
      <c r="V31" s="5"/>
      <c r="W31" s="5"/>
      <c r="X31" s="5"/>
      <c r="Y31" s="5"/>
      <c r="Z31" s="5"/>
      <c r="AA31" s="5"/>
    </row>
    <row r="32">
      <c r="A32" s="5" t="s">
        <v>3</v>
      </c>
      <c r="B32" s="71" t="s">
        <v>926</v>
      </c>
      <c r="C32" s="25">
        <v>85.0</v>
      </c>
      <c r="D32" s="79" t="b">
        <v>1</v>
      </c>
      <c r="E32" s="87"/>
      <c r="F32" s="68"/>
      <c r="G32" s="84"/>
      <c r="H32" s="84"/>
      <c r="I32" s="46"/>
      <c r="J32" s="5"/>
      <c r="K32" s="5"/>
      <c r="L32" s="5"/>
      <c r="M32" s="5"/>
      <c r="N32" s="5"/>
      <c r="O32" s="5"/>
      <c r="P32" s="5"/>
      <c r="Q32" s="5"/>
      <c r="R32" s="5"/>
      <c r="S32" s="5"/>
      <c r="T32" s="5"/>
      <c r="U32" s="5"/>
      <c r="V32" s="5"/>
      <c r="W32" s="5"/>
      <c r="X32" s="5"/>
      <c r="Y32" s="5"/>
      <c r="Z32" s="5"/>
      <c r="AA32" s="5"/>
    </row>
    <row r="33">
      <c r="A33" s="5" t="s">
        <v>141</v>
      </c>
      <c r="B33" s="71" t="s">
        <v>929</v>
      </c>
      <c r="C33" s="25">
        <v>86.0</v>
      </c>
      <c r="D33" s="79" t="b">
        <v>1</v>
      </c>
      <c r="E33" s="87"/>
      <c r="F33" s="68"/>
      <c r="G33" s="84"/>
      <c r="H33" s="84"/>
      <c r="I33" s="46"/>
      <c r="J33" s="5"/>
      <c r="K33" s="5"/>
      <c r="L33" s="5"/>
      <c r="M33" s="5"/>
      <c r="N33" s="5"/>
      <c r="O33" s="5"/>
      <c r="P33" s="5"/>
      <c r="Q33" s="5"/>
      <c r="R33" s="5"/>
      <c r="S33" s="5"/>
      <c r="T33" s="5"/>
      <c r="U33" s="5"/>
      <c r="V33" s="5"/>
      <c r="W33" s="5"/>
      <c r="X33" s="5"/>
      <c r="Y33" s="5"/>
      <c r="Z33" s="5"/>
      <c r="AA33" s="5"/>
    </row>
    <row r="34">
      <c r="A34" s="5" t="s">
        <v>5</v>
      </c>
      <c r="B34" s="71" t="s">
        <v>932</v>
      </c>
      <c r="C34" s="25">
        <v>90.0</v>
      </c>
      <c r="D34" s="79" t="b">
        <v>0</v>
      </c>
      <c r="E34" s="87"/>
      <c r="F34" s="68"/>
      <c r="G34" s="84"/>
      <c r="H34" s="84"/>
      <c r="I34" s="46"/>
      <c r="J34" s="5"/>
      <c r="K34" s="5"/>
      <c r="L34" s="5"/>
      <c r="M34" s="5"/>
      <c r="N34" s="5"/>
      <c r="O34" s="5"/>
      <c r="P34" s="5"/>
      <c r="Q34" s="5"/>
      <c r="R34" s="5"/>
      <c r="S34" s="5"/>
      <c r="T34" s="5"/>
      <c r="U34" s="5"/>
      <c r="V34" s="5"/>
      <c r="W34" s="5"/>
      <c r="X34" s="5"/>
      <c r="Y34" s="5"/>
      <c r="Z34" s="5"/>
      <c r="AA34" s="5"/>
    </row>
    <row r="35">
      <c r="A35" s="5" t="s">
        <v>5</v>
      </c>
      <c r="B35" s="71" t="s">
        <v>935</v>
      </c>
      <c r="C35" s="25">
        <v>90.0</v>
      </c>
      <c r="D35" s="79" t="b">
        <v>0</v>
      </c>
      <c r="E35" s="95"/>
      <c r="F35" s="68"/>
      <c r="G35" s="84"/>
      <c r="H35" s="84"/>
      <c r="I35" s="46"/>
      <c r="J35" s="5"/>
      <c r="K35" s="5"/>
      <c r="L35" s="5"/>
      <c r="M35" s="5"/>
      <c r="N35" s="5"/>
      <c r="O35" s="5"/>
      <c r="P35" s="5"/>
      <c r="Q35" s="5"/>
      <c r="R35" s="5"/>
      <c r="S35" s="5"/>
      <c r="T35" s="5"/>
      <c r="U35" s="5"/>
      <c r="V35" s="5"/>
      <c r="W35" s="5"/>
      <c r="X35" s="5"/>
      <c r="Y35" s="5"/>
      <c r="Z35" s="5"/>
      <c r="AA35" s="5"/>
    </row>
    <row r="36">
      <c r="A36" s="5" t="s">
        <v>4</v>
      </c>
      <c r="B36" s="71" t="s">
        <v>195</v>
      </c>
      <c r="C36" s="25">
        <v>90.0</v>
      </c>
      <c r="D36" s="79" t="b">
        <v>1</v>
      </c>
      <c r="E36" s="95"/>
      <c r="F36" s="68"/>
      <c r="G36" s="84"/>
      <c r="H36" s="84"/>
      <c r="I36" s="46"/>
      <c r="J36" s="5"/>
      <c r="K36" s="5"/>
      <c r="L36" s="5"/>
      <c r="M36" s="5"/>
      <c r="N36" s="5"/>
      <c r="O36" s="5"/>
      <c r="P36" s="5"/>
      <c r="Q36" s="5"/>
      <c r="R36" s="5"/>
      <c r="S36" s="5"/>
      <c r="T36" s="5"/>
      <c r="U36" s="5"/>
      <c r="V36" s="5"/>
      <c r="W36" s="5"/>
      <c r="X36" s="5"/>
      <c r="Y36" s="5"/>
      <c r="Z36" s="5"/>
      <c r="AA36" s="5"/>
    </row>
    <row r="37">
      <c r="A37" s="5"/>
      <c r="B37" s="71"/>
      <c r="C37" s="25"/>
      <c r="D37" s="5"/>
      <c r="E37" s="95"/>
      <c r="F37" s="68"/>
      <c r="G37" s="84"/>
      <c r="H37" s="84"/>
      <c r="I37" s="46"/>
      <c r="J37" s="5"/>
      <c r="K37" s="5"/>
      <c r="L37" s="5"/>
      <c r="M37" s="5"/>
      <c r="N37" s="5"/>
      <c r="O37" s="5"/>
      <c r="P37" s="5"/>
      <c r="Q37" s="5"/>
      <c r="R37" s="5"/>
      <c r="S37" s="5"/>
      <c r="T37" s="5"/>
      <c r="U37" s="5"/>
      <c r="V37" s="5"/>
      <c r="W37" s="5"/>
      <c r="X37" s="5"/>
      <c r="Y37" s="5"/>
      <c r="Z37" s="5"/>
      <c r="AA37" s="5"/>
    </row>
    <row r="38">
      <c r="A38" s="46"/>
      <c r="B38" s="46"/>
      <c r="C38" s="77"/>
      <c r="D38" s="46"/>
      <c r="E38" s="46"/>
      <c r="F38" s="76"/>
      <c r="G38" s="5"/>
      <c r="H38" s="5"/>
      <c r="I38" s="5"/>
      <c r="J38" s="5"/>
      <c r="K38" s="5"/>
      <c r="L38" s="5"/>
      <c r="M38" s="5"/>
      <c r="N38" s="5"/>
      <c r="O38" s="5"/>
      <c r="P38" s="5"/>
      <c r="Q38" s="5"/>
      <c r="R38" s="5"/>
      <c r="S38" s="5"/>
      <c r="T38" s="5"/>
      <c r="U38" s="5"/>
      <c r="V38" s="5"/>
      <c r="W38" s="5"/>
      <c r="X38" s="5"/>
      <c r="Y38" s="5"/>
      <c r="Z38" s="5"/>
      <c r="AA38" s="5"/>
    </row>
    <row r="39">
      <c r="A39" s="46"/>
      <c r="B39" s="46"/>
      <c r="C39" s="77"/>
      <c r="D39" s="46"/>
      <c r="E39" s="46"/>
      <c r="F39" s="76"/>
      <c r="G39" s="5"/>
      <c r="H39" s="5"/>
      <c r="I39" s="5"/>
      <c r="J39" s="5"/>
      <c r="K39" s="5"/>
      <c r="L39" s="5"/>
      <c r="M39" s="5"/>
      <c r="N39" s="5"/>
      <c r="O39" s="5"/>
      <c r="P39" s="5"/>
      <c r="Q39" s="5"/>
      <c r="R39" s="5"/>
      <c r="S39" s="5"/>
      <c r="T39" s="5"/>
      <c r="U39" s="5"/>
      <c r="V39" s="5"/>
      <c r="W39" s="5"/>
      <c r="X39" s="5"/>
      <c r="Y39" s="5"/>
      <c r="Z39" s="5"/>
      <c r="AA39" s="5"/>
    </row>
    <row r="40">
      <c r="A40" s="46"/>
      <c r="B40" s="46"/>
      <c r="C40" s="77"/>
      <c r="D40" s="46"/>
      <c r="E40" s="46"/>
      <c r="F40" s="76"/>
      <c r="G40" s="5"/>
      <c r="H40" s="5"/>
      <c r="I40" s="5"/>
      <c r="J40" s="5"/>
      <c r="K40" s="5"/>
      <c r="L40" s="5"/>
      <c r="M40" s="5"/>
      <c r="N40" s="5"/>
      <c r="O40" s="5"/>
      <c r="P40" s="5"/>
      <c r="Q40" s="5"/>
      <c r="R40" s="5"/>
      <c r="S40" s="5"/>
      <c r="T40" s="5"/>
      <c r="U40" s="5"/>
      <c r="V40" s="5"/>
      <c r="W40" s="5"/>
      <c r="X40" s="5"/>
      <c r="Y40" s="5"/>
      <c r="Z40" s="5"/>
      <c r="AA40" s="5"/>
    </row>
    <row r="41">
      <c r="A41" s="46"/>
      <c r="B41" s="46"/>
      <c r="C41" s="77"/>
      <c r="D41" s="46"/>
      <c r="E41" s="46"/>
      <c r="F41" s="76"/>
      <c r="G41" s="5"/>
      <c r="H41" s="5"/>
      <c r="I41" s="5"/>
      <c r="J41" s="5"/>
      <c r="K41" s="5"/>
      <c r="L41" s="5"/>
      <c r="M41" s="5"/>
      <c r="N41" s="5"/>
      <c r="O41" s="5"/>
      <c r="P41" s="5"/>
      <c r="Q41" s="5"/>
      <c r="R41" s="5"/>
      <c r="S41" s="5"/>
      <c r="T41" s="5"/>
      <c r="U41" s="5"/>
      <c r="V41" s="5"/>
      <c r="W41" s="5"/>
      <c r="X41" s="5"/>
      <c r="Y41" s="5"/>
      <c r="Z41" s="5"/>
      <c r="AA41" s="5"/>
    </row>
    <row r="42">
      <c r="A42" s="46"/>
      <c r="B42" s="46"/>
      <c r="C42" s="77"/>
      <c r="D42" s="46"/>
      <c r="E42" s="46"/>
      <c r="F42" s="76"/>
      <c r="G42" s="5"/>
      <c r="H42" s="5"/>
      <c r="I42" s="5"/>
      <c r="J42" s="5"/>
      <c r="K42" s="5"/>
      <c r="L42" s="5"/>
      <c r="M42" s="5"/>
      <c r="N42" s="5"/>
      <c r="O42" s="5"/>
      <c r="P42" s="5"/>
      <c r="Q42" s="5"/>
      <c r="R42" s="5"/>
      <c r="S42" s="5"/>
      <c r="T42" s="5"/>
      <c r="U42" s="5"/>
      <c r="V42" s="5"/>
      <c r="W42" s="5"/>
      <c r="X42" s="5"/>
      <c r="Y42" s="5"/>
      <c r="Z42" s="5"/>
      <c r="AA42" s="5"/>
    </row>
    <row r="43">
      <c r="A43" s="46"/>
      <c r="B43" s="46"/>
      <c r="C43" s="46"/>
      <c r="D43" s="46"/>
      <c r="E43" s="46"/>
      <c r="F43" s="76"/>
      <c r="G43" s="5"/>
      <c r="H43" s="5"/>
      <c r="I43" s="5"/>
      <c r="J43" s="5"/>
      <c r="K43" s="5"/>
      <c r="L43" s="5"/>
      <c r="M43" s="5"/>
      <c r="N43" s="5"/>
      <c r="O43" s="5"/>
      <c r="P43" s="5"/>
      <c r="Q43" s="5"/>
      <c r="R43" s="5"/>
      <c r="S43" s="5"/>
      <c r="T43" s="5"/>
      <c r="U43" s="5"/>
      <c r="V43" s="5"/>
      <c r="W43" s="5"/>
      <c r="X43" s="5"/>
      <c r="Y43" s="5"/>
      <c r="Z43" s="5"/>
      <c r="AA43" s="5"/>
    </row>
    <row r="44">
      <c r="A44" s="46"/>
      <c r="B44" s="46"/>
      <c r="C44" s="46"/>
      <c r="D44" s="46"/>
      <c r="E44" s="46"/>
      <c r="F44" s="76"/>
      <c r="G44" s="5"/>
      <c r="H44" s="5"/>
      <c r="I44" s="5"/>
      <c r="J44" s="5"/>
      <c r="K44" s="5"/>
      <c r="L44" s="5"/>
      <c r="M44" s="5"/>
      <c r="N44" s="5"/>
      <c r="O44" s="5"/>
      <c r="P44" s="5"/>
      <c r="Q44" s="5"/>
      <c r="R44" s="5"/>
      <c r="S44" s="5"/>
      <c r="T44" s="5"/>
      <c r="U44" s="5"/>
      <c r="V44" s="5"/>
      <c r="W44" s="5"/>
      <c r="X44" s="5"/>
      <c r="Y44" s="5"/>
      <c r="Z44" s="5"/>
      <c r="AA44" s="5"/>
    </row>
    <row r="45">
      <c r="A45" s="46"/>
      <c r="B45" s="46"/>
      <c r="C45" s="46"/>
      <c r="D45" s="46"/>
      <c r="E45" s="46"/>
      <c r="F45" s="76"/>
      <c r="G45" s="5"/>
      <c r="H45" s="5"/>
      <c r="I45" s="5"/>
      <c r="J45" s="5"/>
      <c r="K45" s="5"/>
      <c r="L45" s="5"/>
      <c r="M45" s="5"/>
      <c r="N45" s="5"/>
      <c r="O45" s="5"/>
      <c r="P45" s="5"/>
      <c r="Q45" s="5"/>
      <c r="R45" s="5"/>
      <c r="S45" s="5"/>
      <c r="T45" s="5"/>
      <c r="U45" s="5"/>
      <c r="V45" s="5"/>
      <c r="W45" s="5"/>
      <c r="X45" s="5"/>
      <c r="Y45" s="5"/>
      <c r="Z45" s="5"/>
      <c r="AA45" s="5"/>
    </row>
    <row r="46">
      <c r="A46" s="46"/>
      <c r="B46" s="46"/>
      <c r="C46" s="46"/>
      <c r="D46" s="46"/>
      <c r="E46" s="46"/>
      <c r="F46" s="76"/>
      <c r="G46" s="5"/>
      <c r="H46" s="5"/>
      <c r="I46" s="5"/>
      <c r="J46" s="5"/>
      <c r="K46" s="5"/>
      <c r="L46" s="5"/>
      <c r="M46" s="5"/>
      <c r="N46" s="5"/>
      <c r="O46" s="5"/>
      <c r="P46" s="5"/>
      <c r="Q46" s="5"/>
      <c r="R46" s="5"/>
      <c r="S46" s="5"/>
      <c r="T46" s="5"/>
      <c r="U46" s="5"/>
      <c r="V46" s="5"/>
      <c r="W46" s="5"/>
      <c r="X46" s="5"/>
      <c r="Y46" s="5"/>
      <c r="Z46" s="5"/>
      <c r="AA46" s="5"/>
    </row>
    <row r="47">
      <c r="A47" s="46"/>
      <c r="B47" s="46"/>
      <c r="C47" s="46"/>
      <c r="D47" s="46"/>
      <c r="E47" s="46"/>
      <c r="F47" s="76"/>
      <c r="G47" s="5"/>
      <c r="H47" s="5"/>
      <c r="I47" s="5"/>
      <c r="J47" s="5"/>
      <c r="K47" s="5"/>
      <c r="L47" s="5"/>
      <c r="M47" s="5"/>
      <c r="N47" s="5"/>
      <c r="O47" s="5"/>
      <c r="P47" s="5"/>
      <c r="Q47" s="5"/>
      <c r="R47" s="5"/>
      <c r="S47" s="5"/>
      <c r="T47" s="5"/>
      <c r="U47" s="5"/>
      <c r="V47" s="5"/>
      <c r="W47" s="5"/>
      <c r="X47" s="5"/>
      <c r="Y47" s="5"/>
      <c r="Z47" s="5"/>
      <c r="AA47" s="5"/>
    </row>
    <row r="48">
      <c r="A48" s="46"/>
      <c r="B48" s="46"/>
      <c r="C48" s="46"/>
      <c r="D48" s="46"/>
      <c r="E48" s="46"/>
      <c r="F48" s="76"/>
      <c r="G48" s="5"/>
      <c r="H48" s="5"/>
      <c r="I48" s="5"/>
      <c r="J48" s="5"/>
      <c r="K48" s="5"/>
      <c r="L48" s="5"/>
      <c r="M48" s="5"/>
      <c r="N48" s="5"/>
      <c r="O48" s="5"/>
      <c r="P48" s="5"/>
      <c r="Q48" s="5"/>
      <c r="R48" s="5"/>
      <c r="S48" s="5"/>
      <c r="T48" s="5"/>
      <c r="U48" s="5"/>
      <c r="V48" s="5"/>
      <c r="W48" s="5"/>
      <c r="X48" s="5"/>
      <c r="Y48" s="5"/>
      <c r="Z48" s="5"/>
      <c r="AA48" s="5"/>
    </row>
    <row r="49">
      <c r="A49" s="46"/>
      <c r="B49" s="46"/>
      <c r="C49" s="46"/>
      <c r="D49" s="46"/>
      <c r="E49" s="46"/>
      <c r="F49" s="76"/>
      <c r="G49" s="5"/>
      <c r="H49" s="5"/>
      <c r="I49" s="5"/>
      <c r="J49" s="5"/>
      <c r="K49" s="5"/>
      <c r="L49" s="5"/>
      <c r="M49" s="5"/>
      <c r="N49" s="5"/>
      <c r="O49" s="5"/>
      <c r="P49" s="5"/>
      <c r="Q49" s="5"/>
      <c r="R49" s="5"/>
      <c r="S49" s="5"/>
      <c r="T49" s="5"/>
      <c r="U49" s="5"/>
      <c r="V49" s="5"/>
      <c r="W49" s="5"/>
      <c r="X49" s="5"/>
      <c r="Y49" s="5"/>
      <c r="Z49" s="5"/>
      <c r="AA49" s="5"/>
    </row>
    <row r="50">
      <c r="A50" s="46"/>
      <c r="B50" s="46"/>
      <c r="C50" s="46"/>
      <c r="D50" s="46"/>
      <c r="E50" s="46"/>
      <c r="F50" s="76"/>
      <c r="G50" s="5"/>
      <c r="H50" s="5"/>
      <c r="I50" s="5"/>
      <c r="J50" s="5"/>
      <c r="K50" s="5"/>
      <c r="L50" s="5"/>
      <c r="M50" s="5"/>
      <c r="N50" s="5"/>
      <c r="O50" s="5"/>
      <c r="P50" s="5"/>
      <c r="Q50" s="5"/>
      <c r="R50" s="5"/>
      <c r="S50" s="5"/>
      <c r="T50" s="5"/>
      <c r="U50" s="5"/>
      <c r="V50" s="5"/>
      <c r="W50" s="5"/>
      <c r="X50" s="5"/>
      <c r="Y50" s="5"/>
      <c r="Z50" s="5"/>
      <c r="AA50" s="5"/>
    </row>
    <row r="51">
      <c r="A51" s="46"/>
      <c r="B51" s="46"/>
      <c r="C51" s="46"/>
      <c r="D51" s="46"/>
      <c r="E51" s="46"/>
      <c r="F51" s="76"/>
      <c r="G51" s="5"/>
      <c r="H51" s="5"/>
      <c r="I51" s="5"/>
      <c r="J51" s="5"/>
      <c r="K51" s="5"/>
      <c r="L51" s="5"/>
      <c r="M51" s="5"/>
      <c r="N51" s="5"/>
      <c r="O51" s="5"/>
      <c r="P51" s="5"/>
      <c r="Q51" s="5"/>
      <c r="R51" s="5"/>
      <c r="S51" s="5"/>
      <c r="T51" s="5"/>
      <c r="U51" s="5"/>
      <c r="V51" s="5"/>
      <c r="W51" s="5"/>
      <c r="X51" s="5"/>
      <c r="Y51" s="5"/>
      <c r="Z51" s="5"/>
      <c r="AA51" s="5"/>
    </row>
    <row r="52">
      <c r="A52" s="46"/>
      <c r="B52" s="46"/>
      <c r="C52" s="46"/>
      <c r="D52" s="46"/>
      <c r="E52" s="46"/>
      <c r="F52" s="76"/>
      <c r="G52" s="5"/>
      <c r="H52" s="5"/>
      <c r="I52" s="5"/>
      <c r="J52" s="5"/>
      <c r="K52" s="5"/>
      <c r="L52" s="5"/>
      <c r="M52" s="5"/>
      <c r="N52" s="5"/>
      <c r="O52" s="5"/>
      <c r="P52" s="5"/>
      <c r="Q52" s="5"/>
      <c r="R52" s="5"/>
      <c r="S52" s="5"/>
      <c r="T52" s="5"/>
      <c r="U52" s="5"/>
      <c r="V52" s="5"/>
      <c r="W52" s="5"/>
      <c r="X52" s="5"/>
      <c r="Y52" s="5"/>
      <c r="Z52" s="5"/>
      <c r="AA52" s="5"/>
    </row>
    <row r="53">
      <c r="A53" s="46"/>
      <c r="B53" s="46"/>
      <c r="C53" s="46"/>
      <c r="D53" s="46"/>
      <c r="E53" s="46"/>
      <c r="F53" s="76"/>
      <c r="G53" s="5"/>
      <c r="H53" s="5"/>
      <c r="I53" s="5"/>
      <c r="J53" s="5"/>
      <c r="K53" s="5"/>
      <c r="L53" s="5"/>
      <c r="M53" s="5"/>
      <c r="N53" s="5"/>
      <c r="O53" s="5"/>
      <c r="P53" s="5"/>
      <c r="Q53" s="5"/>
      <c r="R53" s="5"/>
      <c r="S53" s="5"/>
      <c r="T53" s="5"/>
      <c r="U53" s="5"/>
      <c r="V53" s="5"/>
      <c r="W53" s="5"/>
      <c r="X53" s="5"/>
      <c r="Y53" s="5"/>
      <c r="Z53" s="5"/>
      <c r="AA53" s="5"/>
    </row>
    <row r="54">
      <c r="A54" s="46"/>
      <c r="B54" s="46"/>
      <c r="C54" s="46"/>
      <c r="D54" s="46"/>
      <c r="E54" s="46"/>
      <c r="F54" s="76"/>
      <c r="G54" s="5"/>
      <c r="H54" s="5"/>
      <c r="I54" s="5"/>
      <c r="J54" s="5"/>
      <c r="K54" s="5"/>
      <c r="L54" s="5"/>
      <c r="M54" s="5"/>
      <c r="N54" s="5"/>
      <c r="O54" s="5"/>
      <c r="P54" s="5"/>
      <c r="Q54" s="5"/>
      <c r="R54" s="5"/>
      <c r="S54" s="5"/>
      <c r="T54" s="5"/>
      <c r="U54" s="5"/>
      <c r="V54" s="5"/>
      <c r="W54" s="5"/>
      <c r="X54" s="5"/>
      <c r="Y54" s="5"/>
      <c r="Z54" s="5"/>
      <c r="AA54" s="5"/>
    </row>
    <row r="55">
      <c r="A55" s="46"/>
      <c r="B55" s="46"/>
      <c r="C55" s="46"/>
      <c r="D55" s="46"/>
      <c r="E55" s="46"/>
      <c r="F55" s="76"/>
      <c r="G55" s="5"/>
      <c r="H55" s="5"/>
      <c r="I55" s="5"/>
      <c r="J55" s="5"/>
      <c r="K55" s="5"/>
      <c r="L55" s="5"/>
      <c r="M55" s="5"/>
      <c r="N55" s="5"/>
      <c r="O55" s="5"/>
      <c r="P55" s="5"/>
      <c r="Q55" s="5"/>
      <c r="R55" s="5"/>
      <c r="S55" s="5"/>
      <c r="T55" s="5"/>
      <c r="U55" s="5"/>
      <c r="V55" s="5"/>
      <c r="W55" s="5"/>
      <c r="X55" s="5"/>
      <c r="Y55" s="5"/>
      <c r="Z55" s="5"/>
      <c r="AA55" s="5"/>
    </row>
    <row r="56">
      <c r="A56" s="46"/>
      <c r="B56" s="46"/>
      <c r="C56" s="46"/>
      <c r="D56" s="46"/>
      <c r="E56" s="46"/>
      <c r="F56" s="76"/>
      <c r="G56" s="5"/>
      <c r="H56" s="5"/>
      <c r="I56" s="5"/>
      <c r="J56" s="5"/>
      <c r="K56" s="5"/>
      <c r="L56" s="5"/>
      <c r="M56" s="5"/>
      <c r="N56" s="5"/>
      <c r="O56" s="5"/>
      <c r="P56" s="5"/>
      <c r="Q56" s="5"/>
      <c r="R56" s="5"/>
      <c r="S56" s="5"/>
      <c r="T56" s="5"/>
      <c r="U56" s="5"/>
      <c r="V56" s="5"/>
      <c r="W56" s="5"/>
      <c r="X56" s="5"/>
      <c r="Y56" s="5"/>
      <c r="Z56" s="5"/>
      <c r="AA56" s="5"/>
    </row>
    <row r="57">
      <c r="A57" s="46"/>
      <c r="B57" s="46"/>
      <c r="C57" s="46"/>
      <c r="D57" s="46"/>
      <c r="E57" s="46"/>
      <c r="F57" s="76"/>
      <c r="G57" s="5"/>
      <c r="H57" s="5"/>
      <c r="I57" s="5"/>
      <c r="J57" s="5"/>
      <c r="K57" s="5"/>
      <c r="L57" s="5"/>
      <c r="M57" s="5"/>
      <c r="N57" s="5"/>
      <c r="O57" s="5"/>
      <c r="P57" s="5"/>
      <c r="Q57" s="5"/>
      <c r="R57" s="5"/>
      <c r="S57" s="5"/>
      <c r="T57" s="5"/>
      <c r="U57" s="5"/>
      <c r="V57" s="5"/>
      <c r="W57" s="5"/>
      <c r="X57" s="5"/>
      <c r="Y57" s="5"/>
      <c r="Z57" s="5"/>
      <c r="AA57" s="5"/>
    </row>
    <row r="58">
      <c r="A58" s="46"/>
      <c r="B58" s="46"/>
      <c r="C58" s="46"/>
      <c r="D58" s="46"/>
      <c r="E58" s="46"/>
      <c r="F58" s="76"/>
      <c r="G58" s="5"/>
      <c r="H58" s="5"/>
      <c r="I58" s="5"/>
      <c r="J58" s="5"/>
      <c r="K58" s="5"/>
      <c r="L58" s="5"/>
      <c r="M58" s="5"/>
      <c r="N58" s="5"/>
      <c r="O58" s="5"/>
      <c r="P58" s="5"/>
      <c r="Q58" s="5"/>
      <c r="R58" s="5"/>
      <c r="S58" s="5"/>
      <c r="T58" s="5"/>
      <c r="U58" s="5"/>
      <c r="V58" s="5"/>
      <c r="W58" s="5"/>
      <c r="X58" s="5"/>
      <c r="Y58" s="5"/>
      <c r="Z58" s="5"/>
      <c r="AA58" s="5"/>
    </row>
    <row r="59">
      <c r="A59" s="46"/>
      <c r="B59" s="46"/>
      <c r="C59" s="46"/>
      <c r="D59" s="46"/>
      <c r="E59" s="46"/>
      <c r="F59" s="76"/>
      <c r="G59" s="5"/>
      <c r="H59" s="5"/>
      <c r="I59" s="5"/>
      <c r="J59" s="5"/>
      <c r="K59" s="5"/>
      <c r="L59" s="5"/>
      <c r="M59" s="5"/>
      <c r="N59" s="5"/>
      <c r="O59" s="5"/>
      <c r="P59" s="5"/>
      <c r="Q59" s="5"/>
      <c r="R59" s="5"/>
      <c r="S59" s="5"/>
      <c r="T59" s="5"/>
      <c r="U59" s="5"/>
      <c r="V59" s="5"/>
      <c r="W59" s="5"/>
      <c r="X59" s="5"/>
      <c r="Y59" s="5"/>
      <c r="Z59" s="5"/>
      <c r="AA59" s="5"/>
    </row>
    <row r="60">
      <c r="A60" s="46"/>
      <c r="B60" s="46"/>
      <c r="C60" s="46"/>
      <c r="D60" s="46"/>
      <c r="E60" s="46"/>
      <c r="F60" s="76"/>
      <c r="G60" s="5"/>
      <c r="H60" s="5"/>
      <c r="I60" s="5"/>
      <c r="J60" s="5"/>
      <c r="K60" s="5"/>
      <c r="L60" s="5"/>
      <c r="M60" s="5"/>
      <c r="N60" s="5"/>
      <c r="O60" s="5"/>
      <c r="P60" s="5"/>
      <c r="Q60" s="5"/>
      <c r="R60" s="5"/>
      <c r="S60" s="5"/>
      <c r="T60" s="5"/>
      <c r="U60" s="5"/>
      <c r="V60" s="5"/>
      <c r="W60" s="5"/>
      <c r="X60" s="5"/>
      <c r="Y60" s="5"/>
      <c r="Z60" s="5"/>
      <c r="AA60" s="5"/>
    </row>
    <row r="61">
      <c r="A61" s="46"/>
      <c r="B61" s="46"/>
      <c r="C61" s="46"/>
      <c r="D61" s="46"/>
      <c r="E61" s="46"/>
      <c r="F61" s="76"/>
      <c r="G61" s="5"/>
      <c r="H61" s="5"/>
      <c r="I61" s="5"/>
      <c r="J61" s="5"/>
      <c r="K61" s="5"/>
      <c r="L61" s="5"/>
      <c r="M61" s="5"/>
      <c r="N61" s="5"/>
      <c r="O61" s="5"/>
      <c r="P61" s="5"/>
      <c r="Q61" s="5"/>
      <c r="R61" s="5"/>
      <c r="S61" s="5"/>
      <c r="T61" s="5"/>
      <c r="U61" s="5"/>
      <c r="V61" s="5"/>
      <c r="W61" s="5"/>
      <c r="X61" s="5"/>
      <c r="Y61" s="5"/>
      <c r="Z61" s="5"/>
      <c r="AA61" s="5"/>
    </row>
    <row r="62">
      <c r="A62" s="46"/>
      <c r="B62" s="46"/>
      <c r="C62" s="46"/>
      <c r="D62" s="46"/>
      <c r="E62" s="46"/>
      <c r="F62" s="76"/>
      <c r="G62" s="5"/>
      <c r="H62" s="5"/>
      <c r="I62" s="5"/>
      <c r="J62" s="5"/>
      <c r="K62" s="5"/>
      <c r="L62" s="5"/>
      <c r="M62" s="5"/>
      <c r="N62" s="5"/>
      <c r="O62" s="5"/>
      <c r="P62" s="5"/>
      <c r="Q62" s="5"/>
      <c r="R62" s="5"/>
      <c r="S62" s="5"/>
      <c r="T62" s="5"/>
      <c r="U62" s="5"/>
      <c r="V62" s="5"/>
      <c r="W62" s="5"/>
      <c r="X62" s="5"/>
      <c r="Y62" s="5"/>
      <c r="Z62" s="5"/>
      <c r="AA62" s="5"/>
    </row>
    <row r="63">
      <c r="A63" s="46"/>
      <c r="B63" s="46"/>
      <c r="C63" s="46"/>
      <c r="D63" s="46"/>
      <c r="E63" s="46"/>
      <c r="F63" s="76"/>
      <c r="G63" s="5"/>
      <c r="H63" s="5"/>
      <c r="I63" s="5"/>
      <c r="J63" s="5"/>
      <c r="K63" s="5"/>
      <c r="L63" s="5"/>
      <c r="M63" s="5"/>
      <c r="N63" s="5"/>
      <c r="O63" s="5"/>
      <c r="P63" s="5"/>
      <c r="Q63" s="5"/>
      <c r="R63" s="5"/>
      <c r="S63" s="5"/>
      <c r="T63" s="5"/>
      <c r="U63" s="5"/>
      <c r="V63" s="5"/>
      <c r="W63" s="5"/>
      <c r="X63" s="5"/>
      <c r="Y63" s="5"/>
      <c r="Z63" s="5"/>
      <c r="AA63" s="5"/>
    </row>
    <row r="64">
      <c r="A64" s="46"/>
      <c r="B64" s="46"/>
      <c r="C64" s="46"/>
      <c r="D64" s="46"/>
      <c r="E64" s="46"/>
      <c r="F64" s="76"/>
      <c r="G64" s="5"/>
      <c r="H64" s="5"/>
      <c r="I64" s="5"/>
      <c r="J64" s="5"/>
      <c r="K64" s="5"/>
      <c r="L64" s="5"/>
      <c r="M64" s="5"/>
      <c r="N64" s="5"/>
      <c r="O64" s="5"/>
      <c r="P64" s="5"/>
      <c r="Q64" s="5"/>
      <c r="R64" s="5"/>
      <c r="S64" s="5"/>
      <c r="T64" s="5"/>
      <c r="U64" s="5"/>
      <c r="V64" s="5"/>
      <c r="W64" s="5"/>
      <c r="X64" s="5"/>
      <c r="Y64" s="5"/>
      <c r="Z64" s="5"/>
      <c r="AA64" s="5"/>
    </row>
    <row r="65">
      <c r="A65" s="46"/>
      <c r="B65" s="46"/>
      <c r="C65" s="46"/>
      <c r="D65" s="46"/>
      <c r="E65" s="46"/>
      <c r="F65" s="76"/>
      <c r="G65" s="5"/>
      <c r="H65" s="5"/>
      <c r="I65" s="5"/>
      <c r="J65" s="5"/>
      <c r="K65" s="5"/>
      <c r="L65" s="5"/>
      <c r="M65" s="5"/>
      <c r="N65" s="5"/>
      <c r="O65" s="5"/>
      <c r="P65" s="5"/>
      <c r="Q65" s="5"/>
      <c r="R65" s="5"/>
      <c r="S65" s="5"/>
      <c r="T65" s="5"/>
      <c r="U65" s="5"/>
      <c r="V65" s="5"/>
      <c r="W65" s="5"/>
      <c r="X65" s="5"/>
      <c r="Y65" s="5"/>
      <c r="Z65" s="5"/>
      <c r="AA65" s="5"/>
    </row>
    <row r="66">
      <c r="A66" s="46"/>
      <c r="B66" s="46"/>
      <c r="C66" s="46"/>
      <c r="D66" s="46"/>
      <c r="E66" s="46"/>
      <c r="F66" s="76"/>
      <c r="G66" s="5"/>
      <c r="H66" s="5"/>
      <c r="I66" s="5"/>
      <c r="J66" s="5"/>
      <c r="K66" s="5"/>
      <c r="L66" s="5"/>
      <c r="M66" s="5"/>
      <c r="N66" s="5"/>
      <c r="O66" s="5"/>
      <c r="P66" s="5"/>
      <c r="Q66" s="5"/>
      <c r="R66" s="5"/>
      <c r="S66" s="5"/>
      <c r="T66" s="5"/>
      <c r="U66" s="5"/>
      <c r="V66" s="5"/>
      <c r="W66" s="5"/>
      <c r="X66" s="5"/>
      <c r="Y66" s="5"/>
      <c r="Z66" s="5"/>
      <c r="AA66" s="5"/>
    </row>
    <row r="67">
      <c r="A67" s="46"/>
      <c r="B67" s="46"/>
      <c r="C67" s="46"/>
      <c r="D67" s="46"/>
      <c r="E67" s="46"/>
      <c r="F67" s="76"/>
      <c r="G67" s="5"/>
      <c r="H67" s="5"/>
      <c r="I67" s="5"/>
      <c r="J67" s="5"/>
      <c r="K67" s="5"/>
      <c r="L67" s="5"/>
      <c r="M67" s="5"/>
      <c r="N67" s="5"/>
      <c r="O67" s="5"/>
      <c r="P67" s="5"/>
      <c r="Q67" s="5"/>
      <c r="R67" s="5"/>
      <c r="S67" s="5"/>
      <c r="T67" s="5"/>
      <c r="U67" s="5"/>
      <c r="V67" s="5"/>
      <c r="W67" s="5"/>
      <c r="X67" s="5"/>
      <c r="Y67" s="5"/>
      <c r="Z67" s="5"/>
      <c r="AA67" s="5"/>
    </row>
    <row r="68">
      <c r="A68" s="46"/>
      <c r="B68" s="46"/>
      <c r="C68" s="46"/>
      <c r="D68" s="46"/>
      <c r="E68" s="46"/>
      <c r="F68" s="76"/>
      <c r="G68" s="5"/>
      <c r="H68" s="5"/>
      <c r="I68" s="5"/>
      <c r="J68" s="5"/>
      <c r="K68" s="5"/>
      <c r="L68" s="5"/>
      <c r="M68" s="5"/>
      <c r="N68" s="5"/>
      <c r="O68" s="5"/>
      <c r="P68" s="5"/>
      <c r="Q68" s="5"/>
      <c r="R68" s="5"/>
      <c r="S68" s="5"/>
      <c r="T68" s="5"/>
      <c r="U68" s="5"/>
      <c r="V68" s="5"/>
      <c r="W68" s="5"/>
      <c r="X68" s="5"/>
      <c r="Y68" s="5"/>
      <c r="Z68" s="5"/>
      <c r="AA68" s="5"/>
    </row>
    <row r="69">
      <c r="A69" s="46"/>
      <c r="B69" s="46"/>
      <c r="C69" s="46"/>
      <c r="D69" s="46"/>
      <c r="E69" s="46"/>
      <c r="F69" s="76"/>
      <c r="G69" s="5"/>
      <c r="H69" s="5"/>
      <c r="I69" s="5"/>
      <c r="J69" s="5"/>
      <c r="K69" s="5"/>
      <c r="L69" s="5"/>
      <c r="M69" s="5"/>
      <c r="N69" s="5"/>
      <c r="O69" s="5"/>
      <c r="P69" s="5"/>
      <c r="Q69" s="5"/>
      <c r="R69" s="5"/>
      <c r="S69" s="5"/>
      <c r="T69" s="5"/>
      <c r="U69" s="5"/>
      <c r="V69" s="5"/>
      <c r="W69" s="5"/>
      <c r="X69" s="5"/>
      <c r="Y69" s="5"/>
      <c r="Z69" s="5"/>
      <c r="AA69" s="5"/>
    </row>
    <row r="70">
      <c r="A70" s="46"/>
      <c r="B70" s="46"/>
      <c r="C70" s="46"/>
      <c r="D70" s="46"/>
      <c r="E70" s="46"/>
      <c r="F70" s="76"/>
      <c r="G70" s="5"/>
      <c r="H70" s="5"/>
      <c r="I70" s="5"/>
      <c r="J70" s="5"/>
      <c r="K70" s="5"/>
      <c r="L70" s="5"/>
      <c r="M70" s="5"/>
      <c r="N70" s="5"/>
      <c r="O70" s="5"/>
      <c r="P70" s="5"/>
      <c r="Q70" s="5"/>
      <c r="R70" s="5"/>
      <c r="S70" s="5"/>
      <c r="T70" s="5"/>
      <c r="U70" s="5"/>
      <c r="V70" s="5"/>
      <c r="W70" s="5"/>
      <c r="X70" s="5"/>
      <c r="Y70" s="5"/>
      <c r="Z70" s="5"/>
      <c r="AA70" s="5"/>
    </row>
    <row r="71">
      <c r="A71" s="46"/>
      <c r="B71" s="46"/>
      <c r="C71" s="46"/>
      <c r="D71" s="46"/>
      <c r="E71" s="46"/>
      <c r="F71" s="76"/>
      <c r="G71" s="5"/>
      <c r="H71" s="5"/>
      <c r="I71" s="5"/>
      <c r="J71" s="5"/>
      <c r="K71" s="5"/>
      <c r="L71" s="5"/>
      <c r="M71" s="5"/>
      <c r="N71" s="5"/>
      <c r="O71" s="5"/>
      <c r="P71" s="5"/>
      <c r="Q71" s="5"/>
      <c r="R71" s="5"/>
      <c r="S71" s="5"/>
      <c r="T71" s="5"/>
      <c r="U71" s="5"/>
      <c r="V71" s="5"/>
      <c r="W71" s="5"/>
      <c r="X71" s="5"/>
      <c r="Y71" s="5"/>
      <c r="Z71" s="5"/>
      <c r="AA71" s="5"/>
    </row>
    <row r="72">
      <c r="A72" s="46"/>
      <c r="B72" s="46"/>
      <c r="C72" s="46"/>
      <c r="D72" s="46"/>
      <c r="E72" s="46"/>
      <c r="F72" s="76"/>
      <c r="G72" s="5"/>
      <c r="H72" s="5"/>
      <c r="I72" s="5"/>
      <c r="J72" s="5"/>
      <c r="K72" s="5"/>
      <c r="L72" s="5"/>
      <c r="M72" s="5"/>
      <c r="N72" s="5"/>
      <c r="O72" s="5"/>
      <c r="P72" s="5"/>
      <c r="Q72" s="5"/>
      <c r="R72" s="5"/>
      <c r="S72" s="5"/>
      <c r="T72" s="5"/>
      <c r="U72" s="5"/>
      <c r="V72" s="5"/>
      <c r="W72" s="5"/>
      <c r="X72" s="5"/>
      <c r="Y72" s="5"/>
      <c r="Z72" s="5"/>
      <c r="AA72" s="5"/>
    </row>
    <row r="73">
      <c r="A73" s="46"/>
      <c r="B73" s="46"/>
      <c r="C73" s="46"/>
      <c r="D73" s="46"/>
      <c r="E73" s="46"/>
      <c r="F73" s="76"/>
      <c r="G73" s="5"/>
      <c r="H73" s="5"/>
      <c r="I73" s="5"/>
      <c r="J73" s="5"/>
      <c r="K73" s="5"/>
      <c r="L73" s="5"/>
      <c r="M73" s="5"/>
      <c r="N73" s="5"/>
      <c r="O73" s="5"/>
      <c r="P73" s="5"/>
      <c r="Q73" s="5"/>
      <c r="R73" s="5"/>
      <c r="S73" s="5"/>
      <c r="T73" s="5"/>
      <c r="U73" s="5"/>
      <c r="V73" s="5"/>
      <c r="W73" s="5"/>
      <c r="X73" s="5"/>
      <c r="Y73" s="5"/>
      <c r="Z73" s="5"/>
      <c r="AA73" s="5"/>
    </row>
    <row r="74">
      <c r="A74" s="46"/>
      <c r="B74" s="46"/>
      <c r="C74" s="46"/>
      <c r="D74" s="46"/>
      <c r="E74" s="46"/>
      <c r="F74" s="76"/>
      <c r="G74" s="5"/>
      <c r="H74" s="5"/>
      <c r="I74" s="5"/>
      <c r="J74" s="5"/>
      <c r="K74" s="5"/>
      <c r="L74" s="5"/>
      <c r="M74" s="5"/>
      <c r="N74" s="5"/>
      <c r="O74" s="5"/>
      <c r="P74" s="5"/>
      <c r="Q74" s="5"/>
      <c r="R74" s="5"/>
      <c r="S74" s="5"/>
      <c r="T74" s="5"/>
      <c r="U74" s="5"/>
      <c r="V74" s="5"/>
      <c r="W74" s="5"/>
      <c r="X74" s="5"/>
      <c r="Y74" s="5"/>
      <c r="Z74" s="5"/>
      <c r="AA74" s="5"/>
    </row>
    <row r="75">
      <c r="A75" s="46"/>
      <c r="B75" s="46"/>
      <c r="C75" s="46"/>
      <c r="D75" s="46"/>
      <c r="E75" s="46"/>
      <c r="F75" s="76"/>
      <c r="G75" s="5"/>
      <c r="H75" s="5"/>
      <c r="I75" s="5"/>
      <c r="J75" s="5"/>
      <c r="K75" s="5"/>
      <c r="L75" s="5"/>
      <c r="M75" s="5"/>
      <c r="N75" s="5"/>
      <c r="O75" s="5"/>
      <c r="P75" s="5"/>
      <c r="Q75" s="5"/>
      <c r="R75" s="5"/>
      <c r="S75" s="5"/>
      <c r="T75" s="5"/>
      <c r="U75" s="5"/>
      <c r="V75" s="5"/>
      <c r="W75" s="5"/>
      <c r="X75" s="5"/>
      <c r="Y75" s="5"/>
      <c r="Z75" s="5"/>
      <c r="AA75" s="5"/>
    </row>
    <row r="76">
      <c r="A76" s="46"/>
      <c r="B76" s="46"/>
      <c r="C76" s="46"/>
      <c r="D76" s="46"/>
      <c r="E76" s="46"/>
      <c r="F76" s="76"/>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c r="J1" s="13"/>
      <c r="K1" s="5"/>
      <c r="L1" s="5"/>
      <c r="M1" s="5"/>
      <c r="N1" s="5"/>
      <c r="O1" s="5"/>
      <c r="P1" s="5"/>
      <c r="Q1" s="5"/>
      <c r="R1" s="5"/>
      <c r="S1" s="5"/>
      <c r="T1" s="5"/>
      <c r="U1" s="5"/>
      <c r="V1" s="5"/>
      <c r="W1" s="5"/>
      <c r="X1" s="5"/>
      <c r="Y1" s="5"/>
      <c r="Z1" s="5"/>
      <c r="AA1" s="5"/>
    </row>
    <row r="2">
      <c r="A2" s="5" t="s">
        <v>93</v>
      </c>
      <c r="B2" s="5" t="s">
        <v>108</v>
      </c>
      <c r="C2" s="25">
        <f t="shared" ref="C2:C6" si="1">COUNTIF(I:I,A2)</f>
        <v>1</v>
      </c>
      <c r="D2" s="17">
        <f t="shared" ref="D2:D6" si="2">C2/COUNTA(I$2:I1000)</f>
        <v>0.03333333333</v>
      </c>
      <c r="E2" s="83">
        <v>1.593104923E9</v>
      </c>
      <c r="F2" s="68">
        <f>IFERROR(__xludf.DUMMYFUNCTION("INDEX(SPLIT(E2, char(10)), 0, 1)/86400+date(1970,1,1)"),44007.71438657407)</f>
        <v>44007.71439</v>
      </c>
      <c r="G2" s="84" t="s">
        <v>1179</v>
      </c>
      <c r="H2" s="84" t="s">
        <v>1180</v>
      </c>
      <c r="I2" s="46" t="s">
        <v>13</v>
      </c>
      <c r="J2" s="5"/>
      <c r="K2" s="5"/>
      <c r="L2" s="5"/>
      <c r="M2" s="5"/>
      <c r="N2" s="5"/>
      <c r="O2" s="5"/>
      <c r="P2" s="5"/>
      <c r="Q2" s="5"/>
      <c r="R2" s="5"/>
      <c r="S2" s="5"/>
      <c r="T2" s="5"/>
      <c r="U2" s="5"/>
      <c r="V2" s="5"/>
      <c r="W2" s="5"/>
      <c r="X2" s="5"/>
      <c r="Y2" s="5"/>
      <c r="Z2" s="5"/>
      <c r="AA2" s="5"/>
    </row>
    <row r="3">
      <c r="A3" s="5" t="s">
        <v>11</v>
      </c>
      <c r="B3" s="5" t="s">
        <v>111</v>
      </c>
      <c r="C3" s="25">
        <f t="shared" si="1"/>
        <v>2</v>
      </c>
      <c r="D3" s="17">
        <f t="shared" si="2"/>
        <v>0.06666666667</v>
      </c>
      <c r="E3" s="83">
        <v>1.593105059E9</v>
      </c>
      <c r="F3" s="68">
        <f>IFERROR(__xludf.DUMMYFUNCTION("INDEX(SPLIT(E3, char(10)), 0, 1)/86400+date(1970,1,1)"),44007.715960648144)</f>
        <v>44007.71596</v>
      </c>
      <c r="G3" s="84" t="s">
        <v>1181</v>
      </c>
      <c r="H3" s="84" t="s">
        <v>1182</v>
      </c>
      <c r="I3" s="46" t="s">
        <v>13</v>
      </c>
      <c r="J3" s="5"/>
      <c r="K3" s="5"/>
      <c r="L3" s="5"/>
      <c r="M3" s="5"/>
      <c r="N3" s="5"/>
      <c r="O3" s="5"/>
      <c r="P3" s="5"/>
      <c r="Q3" s="5"/>
      <c r="R3" s="5"/>
      <c r="S3" s="5"/>
      <c r="T3" s="5"/>
      <c r="U3" s="5"/>
      <c r="V3" s="5"/>
      <c r="W3" s="5"/>
      <c r="X3" s="5"/>
      <c r="Y3" s="5"/>
      <c r="Z3" s="5"/>
      <c r="AA3" s="5"/>
    </row>
    <row r="4">
      <c r="A4" s="5" t="s">
        <v>12</v>
      </c>
      <c r="B4" s="5" t="s">
        <v>114</v>
      </c>
      <c r="C4" s="25">
        <f t="shared" si="1"/>
        <v>6</v>
      </c>
      <c r="D4" s="17">
        <f t="shared" si="2"/>
        <v>0.2</v>
      </c>
      <c r="E4" s="83">
        <v>1.593105158E9</v>
      </c>
      <c r="F4" s="68">
        <f>IFERROR(__xludf.DUMMYFUNCTION("INDEX(SPLIT(E4, char(10)), 0, 1)/86400+date(1970,1,1)"),44007.71710648148)</f>
        <v>44007.71711</v>
      </c>
      <c r="G4" s="84" t="s">
        <v>1183</v>
      </c>
      <c r="H4" s="84" t="s">
        <v>1184</v>
      </c>
      <c r="I4" s="46" t="s">
        <v>12</v>
      </c>
      <c r="J4" s="5"/>
      <c r="K4" s="5"/>
      <c r="L4" s="5"/>
      <c r="M4" s="5"/>
      <c r="N4" s="5"/>
      <c r="O4" s="5"/>
      <c r="P4" s="5"/>
      <c r="Q4" s="5"/>
      <c r="R4" s="5"/>
      <c r="S4" s="5"/>
      <c r="T4" s="5"/>
      <c r="U4" s="5"/>
      <c r="V4" s="5"/>
      <c r="W4" s="5"/>
      <c r="X4" s="5"/>
      <c r="Y4" s="5"/>
      <c r="Z4" s="5"/>
      <c r="AA4" s="5"/>
    </row>
    <row r="5">
      <c r="A5" s="5" t="s">
        <v>13</v>
      </c>
      <c r="B5" s="5" t="s">
        <v>117</v>
      </c>
      <c r="C5" s="25">
        <f t="shared" si="1"/>
        <v>11</v>
      </c>
      <c r="D5" s="17">
        <f t="shared" si="2"/>
        <v>0.3666666667</v>
      </c>
      <c r="E5" s="83">
        <v>1.593105366E9</v>
      </c>
      <c r="F5" s="68">
        <f>IFERROR(__xludf.DUMMYFUNCTION("INDEX(SPLIT(E5, char(10)), 0, 1)/86400+date(1970,1,1)"),44007.71951388889)</f>
        <v>44007.71951</v>
      </c>
      <c r="G5" s="84" t="s">
        <v>1185</v>
      </c>
      <c r="H5" s="84" t="s">
        <v>1186</v>
      </c>
      <c r="I5" s="46" t="s">
        <v>14</v>
      </c>
      <c r="J5" s="5"/>
      <c r="K5" s="5"/>
      <c r="L5" s="5"/>
      <c r="M5" s="5"/>
      <c r="N5" s="5"/>
      <c r="O5" s="5"/>
      <c r="P5" s="5"/>
      <c r="Q5" s="5"/>
      <c r="R5" s="5"/>
      <c r="S5" s="5"/>
      <c r="T5" s="5"/>
      <c r="U5" s="5"/>
      <c r="V5" s="5"/>
      <c r="W5" s="5"/>
      <c r="X5" s="5"/>
      <c r="Y5" s="5"/>
      <c r="Z5" s="5"/>
      <c r="AA5" s="5"/>
    </row>
    <row r="6">
      <c r="A6" s="5" t="s">
        <v>14</v>
      </c>
      <c r="B6" s="5" t="s">
        <v>120</v>
      </c>
      <c r="C6" s="25">
        <f t="shared" si="1"/>
        <v>10</v>
      </c>
      <c r="D6" s="17">
        <f t="shared" si="2"/>
        <v>0.3333333333</v>
      </c>
      <c r="E6" s="83">
        <v>1.593105653E9</v>
      </c>
      <c r="F6" s="68">
        <f>IFERROR(__xludf.DUMMYFUNCTION("INDEX(SPLIT(E6, char(10)), 0, 1)/86400+date(1970,1,1)"),44007.72283564815)</f>
        <v>44007.72284</v>
      </c>
      <c r="G6" s="84" t="s">
        <v>1187</v>
      </c>
      <c r="H6" s="84" t="s">
        <v>1188</v>
      </c>
      <c r="I6" s="46" t="s">
        <v>13</v>
      </c>
      <c r="J6" s="5"/>
      <c r="K6" s="5"/>
      <c r="L6" s="5"/>
      <c r="M6" s="5"/>
      <c r="N6" s="5"/>
      <c r="O6" s="5"/>
      <c r="P6" s="5"/>
      <c r="Q6" s="5"/>
      <c r="R6" s="5"/>
      <c r="S6" s="5"/>
      <c r="T6" s="5"/>
      <c r="U6" s="5"/>
      <c r="V6" s="5"/>
      <c r="W6" s="5"/>
      <c r="X6" s="5"/>
      <c r="Y6" s="5"/>
      <c r="Z6" s="5"/>
      <c r="AA6" s="5"/>
    </row>
    <row r="7">
      <c r="A7" s="5"/>
      <c r="B7" s="5" t="s">
        <v>10</v>
      </c>
      <c r="C7" s="23">
        <f t="shared" ref="C7:D7" si="3">SUM(C2:C6)</f>
        <v>30</v>
      </c>
      <c r="D7" s="70">
        <f t="shared" si="3"/>
        <v>1</v>
      </c>
      <c r="E7" s="83">
        <v>1.59310577E9</v>
      </c>
      <c r="F7" s="68">
        <f>IFERROR(__xludf.DUMMYFUNCTION("INDEX(SPLIT(E7, char(10)), 0, 1)/86400+date(1970,1,1)"),44007.72418981481)</f>
        <v>44007.72419</v>
      </c>
      <c r="G7" s="84" t="s">
        <v>1189</v>
      </c>
      <c r="H7" s="84" t="s">
        <v>1190</v>
      </c>
      <c r="I7" s="46" t="s">
        <v>12</v>
      </c>
      <c r="J7" s="5"/>
      <c r="K7" s="5"/>
      <c r="L7" s="5"/>
      <c r="M7" s="5"/>
      <c r="N7" s="5"/>
      <c r="O7" s="5"/>
      <c r="P7" s="5"/>
      <c r="Q7" s="5"/>
      <c r="R7" s="5"/>
      <c r="S7" s="5"/>
      <c r="T7" s="5"/>
      <c r="U7" s="5"/>
      <c r="V7" s="5"/>
      <c r="W7" s="5"/>
      <c r="X7" s="5"/>
      <c r="Y7" s="5"/>
      <c r="Z7" s="5"/>
      <c r="AA7" s="5"/>
    </row>
    <row r="8">
      <c r="A8" s="71"/>
      <c r="B8" s="5" t="s">
        <v>15</v>
      </c>
      <c r="C8" s="25">
        <f t="shared" ref="C8:D8" si="4">SUM(C5:C6)</f>
        <v>21</v>
      </c>
      <c r="D8" s="17">
        <f t="shared" si="4"/>
        <v>0.7</v>
      </c>
      <c r="E8" s="83">
        <v>1.59310588E9</v>
      </c>
      <c r="F8" s="68">
        <f>IFERROR(__xludf.DUMMYFUNCTION("INDEX(SPLIT(E8, char(10)), 0, 1)/86400+date(1970,1,1)"),44007.72546296296)</f>
        <v>44007.72546</v>
      </c>
      <c r="G8" s="84" t="s">
        <v>1191</v>
      </c>
      <c r="H8" s="84" t="s">
        <v>1192</v>
      </c>
      <c r="I8" s="46" t="s">
        <v>14</v>
      </c>
      <c r="J8" s="5"/>
      <c r="K8" s="5"/>
      <c r="L8" s="5"/>
      <c r="M8" s="5"/>
      <c r="N8" s="5"/>
      <c r="O8" s="5"/>
      <c r="P8" s="5"/>
      <c r="Q8" s="5"/>
      <c r="R8" s="5"/>
      <c r="S8" s="5"/>
      <c r="T8" s="5"/>
      <c r="U8" s="5"/>
      <c r="V8" s="5"/>
      <c r="W8" s="5"/>
      <c r="X8" s="5"/>
      <c r="Y8" s="5"/>
      <c r="Z8" s="5"/>
      <c r="AA8" s="5"/>
    </row>
    <row r="9">
      <c r="A9" s="71"/>
      <c r="B9" s="5" t="s">
        <v>127</v>
      </c>
      <c r="C9" s="25">
        <f>C2+C5+C6</f>
        <v>22</v>
      </c>
      <c r="D9" s="17">
        <f>SUM(D5:D6) + D2</f>
        <v>0.7333333333</v>
      </c>
      <c r="E9" s="83">
        <v>1.593106019E9</v>
      </c>
      <c r="F9" s="68">
        <f>IFERROR(__xludf.DUMMYFUNCTION("INDEX(SPLIT(E9, char(10)), 0, 1)/86400+date(1970,1,1)"),44007.72707175926)</f>
        <v>44007.72707</v>
      </c>
      <c r="G9" s="84" t="s">
        <v>1193</v>
      </c>
      <c r="H9" s="84" t="s">
        <v>1194</v>
      </c>
      <c r="I9" s="46" t="s">
        <v>14</v>
      </c>
      <c r="J9" s="5"/>
      <c r="K9" s="5"/>
      <c r="L9" s="5"/>
      <c r="M9" s="5"/>
      <c r="N9" s="5"/>
      <c r="O9" s="5"/>
      <c r="P9" s="5"/>
      <c r="Q9" s="5"/>
      <c r="R9" s="5"/>
      <c r="S9" s="5"/>
      <c r="T9" s="5"/>
      <c r="U9" s="5"/>
      <c r="V9" s="5"/>
      <c r="W9" s="5"/>
      <c r="X9" s="5"/>
      <c r="Y9" s="5"/>
      <c r="Z9" s="5"/>
      <c r="AA9" s="5"/>
    </row>
    <row r="10">
      <c r="A10" s="71"/>
      <c r="B10" s="71"/>
      <c r="C10" s="71"/>
      <c r="D10" s="71"/>
      <c r="E10" s="83">
        <v>1.593106221E9</v>
      </c>
      <c r="F10" s="68">
        <f>IFERROR(__xludf.DUMMYFUNCTION("INDEX(SPLIT(E10, char(10)), 0, 1)/86400+date(1970,1,1)"),44007.72940972222)</f>
        <v>44007.72941</v>
      </c>
      <c r="G10" s="84" t="s">
        <v>1195</v>
      </c>
      <c r="H10" s="84" t="s">
        <v>1196</v>
      </c>
      <c r="I10" s="46" t="s">
        <v>11</v>
      </c>
      <c r="J10" s="5"/>
      <c r="K10" s="5"/>
      <c r="L10" s="5"/>
      <c r="M10" s="5"/>
      <c r="N10" s="5"/>
      <c r="O10" s="5"/>
      <c r="P10" s="5"/>
      <c r="Q10" s="5"/>
      <c r="R10" s="5"/>
      <c r="S10" s="5"/>
      <c r="T10" s="5"/>
      <c r="U10" s="5"/>
      <c r="V10" s="5"/>
      <c r="W10" s="5"/>
      <c r="X10" s="5"/>
      <c r="Y10" s="5"/>
      <c r="Z10" s="5"/>
      <c r="AA10" s="5"/>
    </row>
    <row r="11">
      <c r="A11" s="71"/>
      <c r="B11" s="71"/>
      <c r="C11" s="71"/>
      <c r="D11" s="71"/>
      <c r="E11" s="83">
        <v>1.593106831E9</v>
      </c>
      <c r="F11" s="68">
        <f>IFERROR(__xludf.DUMMYFUNCTION("INDEX(SPLIT(E11, char(10)), 0, 1)/86400+date(1970,1,1)"),44007.73646990741)</f>
        <v>44007.73647</v>
      </c>
      <c r="G11" s="84" t="s">
        <v>1033</v>
      </c>
      <c r="H11" s="84" t="s">
        <v>1197</v>
      </c>
      <c r="I11" s="46" t="s">
        <v>14</v>
      </c>
      <c r="J11" s="5"/>
      <c r="K11" s="5"/>
      <c r="L11" s="5"/>
      <c r="M11" s="5"/>
      <c r="N11" s="5"/>
      <c r="O11" s="5"/>
      <c r="P11" s="5"/>
      <c r="Q11" s="5"/>
      <c r="R11" s="5"/>
      <c r="S11" s="5"/>
      <c r="T11" s="5"/>
      <c r="U11" s="5"/>
      <c r="V11" s="5"/>
      <c r="W11" s="5"/>
      <c r="X11" s="5"/>
      <c r="Y11" s="5"/>
      <c r="Z11" s="5"/>
      <c r="AA11" s="5"/>
    </row>
    <row r="12">
      <c r="A12" s="13" t="s">
        <v>134</v>
      </c>
      <c r="B12" s="85" t="s">
        <v>1198</v>
      </c>
      <c r="C12" s="71"/>
      <c r="D12" s="71"/>
      <c r="E12" s="83">
        <v>1.593106933E9</v>
      </c>
      <c r="F12" s="68">
        <f>IFERROR(__xludf.DUMMYFUNCTION("INDEX(SPLIT(E12, char(10)), 0, 1)/86400+date(1970,1,1)"),44007.737650462965)</f>
        <v>44007.73765</v>
      </c>
      <c r="G12" s="84" t="s">
        <v>1199</v>
      </c>
      <c r="H12" s="84" t="s">
        <v>1200</v>
      </c>
      <c r="I12" s="46" t="s">
        <v>12</v>
      </c>
      <c r="J12" s="5"/>
      <c r="K12" s="5"/>
      <c r="L12" s="5"/>
      <c r="M12" s="5"/>
      <c r="N12" s="5"/>
      <c r="O12" s="5"/>
      <c r="P12" s="5"/>
      <c r="Q12" s="5"/>
      <c r="R12" s="5"/>
      <c r="S12" s="5"/>
      <c r="T12" s="5"/>
      <c r="U12" s="5"/>
      <c r="V12" s="5"/>
      <c r="W12" s="5"/>
      <c r="X12" s="5"/>
      <c r="Y12" s="5"/>
      <c r="Z12" s="5"/>
      <c r="AA12" s="5"/>
    </row>
    <row r="13">
      <c r="A13" s="13" t="s">
        <v>138</v>
      </c>
      <c r="B13" s="71"/>
      <c r="C13" s="13" t="s">
        <v>101</v>
      </c>
      <c r="D13" s="13" t="s">
        <v>102</v>
      </c>
      <c r="E13" s="83">
        <v>1.593107349E9</v>
      </c>
      <c r="F13" s="68">
        <f>IFERROR(__xludf.DUMMYFUNCTION("INDEX(SPLIT(E13, char(10)), 0, 1)/86400+date(1970,1,1)"),44007.74246527778)</f>
        <v>44007.74247</v>
      </c>
      <c r="G13" s="84" t="s">
        <v>1201</v>
      </c>
      <c r="H13" s="84" t="s">
        <v>1202</v>
      </c>
      <c r="I13" s="46" t="s">
        <v>13</v>
      </c>
      <c r="J13" s="5"/>
      <c r="K13" s="5"/>
      <c r="L13" s="5"/>
      <c r="M13" s="5"/>
      <c r="N13" s="5"/>
      <c r="O13" s="5"/>
      <c r="P13" s="5"/>
      <c r="Q13" s="5"/>
      <c r="R13" s="5"/>
      <c r="S13" s="5"/>
      <c r="T13" s="5"/>
      <c r="U13" s="5"/>
      <c r="V13" s="5"/>
      <c r="W13" s="5"/>
      <c r="X13" s="5"/>
      <c r="Y13" s="5"/>
      <c r="Z13" s="5"/>
      <c r="AA13" s="5"/>
    </row>
    <row r="14">
      <c r="A14" s="5" t="s">
        <v>141</v>
      </c>
      <c r="B14" s="5" t="s">
        <v>142</v>
      </c>
      <c r="C14" s="23">
        <f t="shared" ref="C14:C17" si="5">COUNTIF($A$19:$A1000, A14)</f>
        <v>3</v>
      </c>
      <c r="D14" s="17">
        <f>IFERROR(__xludf.DUMMYFUNCTION("IF(C14, COUNTIF(FILTER($D$19:$D1000, $A$19:$A1000=A14), TRUE)/C14, 0)"),1.0)</f>
        <v>1</v>
      </c>
      <c r="E14" s="83">
        <v>1.593107488E9</v>
      </c>
      <c r="F14" s="68">
        <f>IFERROR(__xludf.DUMMYFUNCTION("INDEX(SPLIT(E14, char(10)), 0, 1)/86400+date(1970,1,1)"),44007.74407407407)</f>
        <v>44007.74407</v>
      </c>
      <c r="G14" s="84" t="s">
        <v>1203</v>
      </c>
      <c r="H14" s="84" t="s">
        <v>1204</v>
      </c>
      <c r="I14" s="46" t="s">
        <v>12</v>
      </c>
      <c r="J14" s="5"/>
      <c r="K14" s="5"/>
      <c r="L14" s="5"/>
      <c r="M14" s="5"/>
      <c r="N14" s="5"/>
      <c r="O14" s="5"/>
      <c r="P14" s="5"/>
      <c r="Q14" s="5"/>
      <c r="R14" s="5"/>
      <c r="S14" s="5"/>
      <c r="T14" s="5"/>
      <c r="U14" s="5"/>
      <c r="V14" s="5"/>
      <c r="W14" s="5"/>
      <c r="X14" s="5"/>
      <c r="Y14" s="5"/>
      <c r="Z14" s="5"/>
      <c r="AA14" s="5"/>
    </row>
    <row r="15">
      <c r="A15" s="5" t="s">
        <v>3</v>
      </c>
      <c r="B15" s="5" t="s">
        <v>145</v>
      </c>
      <c r="C15" s="23">
        <f t="shared" si="5"/>
        <v>3</v>
      </c>
      <c r="D15" s="17">
        <f>IFERROR(__xludf.DUMMYFUNCTION("IF(C15, COUNTIF(FILTER($D$19:$D1000, $A$19:$A1000=A15), TRUE)/C15, 0)"),1.0)</f>
        <v>1</v>
      </c>
      <c r="E15" s="83">
        <v>1.593107662E9</v>
      </c>
      <c r="F15" s="68">
        <f>IFERROR(__xludf.DUMMYFUNCTION("INDEX(SPLIT(E15, char(10)), 0, 1)/86400+date(1970,1,1)"),44007.746087962965)</f>
        <v>44007.74609</v>
      </c>
      <c r="G15" s="84" t="s">
        <v>1205</v>
      </c>
      <c r="H15" s="84" t="s">
        <v>1206</v>
      </c>
      <c r="I15" s="46" t="s">
        <v>12</v>
      </c>
      <c r="J15" s="5"/>
      <c r="K15" s="5"/>
      <c r="L15" s="5"/>
      <c r="M15" s="5"/>
      <c r="N15" s="5"/>
      <c r="O15" s="5"/>
      <c r="P15" s="5"/>
      <c r="Q15" s="5"/>
      <c r="R15" s="5"/>
      <c r="S15" s="5"/>
      <c r="T15" s="5"/>
      <c r="U15" s="5"/>
      <c r="V15" s="5"/>
      <c r="W15" s="5"/>
      <c r="X15" s="5"/>
      <c r="Y15" s="5"/>
      <c r="Z15" s="5"/>
      <c r="AA15" s="5"/>
    </row>
    <row r="16">
      <c r="A16" s="5" t="s">
        <v>4</v>
      </c>
      <c r="B16" s="5" t="s">
        <v>148</v>
      </c>
      <c r="C16" s="23">
        <f t="shared" si="5"/>
        <v>4</v>
      </c>
      <c r="D16" s="17">
        <f>IFERROR(__xludf.DUMMYFUNCTION("IF(C16, COUNTIF(FILTER($D$19:$D1000, $A$19:$A1000=A16), TRUE)/C16, 0)"),0.75)</f>
        <v>0.75</v>
      </c>
      <c r="E16" s="83">
        <v>1.593108298E9</v>
      </c>
      <c r="F16" s="68">
        <f>IFERROR(__xludf.DUMMYFUNCTION("INDEX(SPLIT(E16, char(10)), 0, 1)/86400+date(1970,1,1)"),44007.75344907407)</f>
        <v>44007.75345</v>
      </c>
      <c r="G16" s="84" t="s">
        <v>1207</v>
      </c>
      <c r="H16" s="84" t="s">
        <v>1208</v>
      </c>
      <c r="I16" s="46" t="s">
        <v>13</v>
      </c>
      <c r="J16" s="5"/>
      <c r="K16" s="5"/>
      <c r="L16" s="5"/>
      <c r="M16" s="5"/>
      <c r="N16" s="5"/>
      <c r="O16" s="5"/>
      <c r="P16" s="5"/>
      <c r="Q16" s="5"/>
      <c r="R16" s="5"/>
      <c r="S16" s="5"/>
      <c r="T16" s="5"/>
      <c r="U16" s="5"/>
      <c r="V16" s="5"/>
      <c r="W16" s="5"/>
      <c r="X16" s="5"/>
      <c r="Y16" s="5"/>
      <c r="Z16" s="5"/>
      <c r="AA16" s="5"/>
    </row>
    <row r="17">
      <c r="A17" s="5" t="s">
        <v>5</v>
      </c>
      <c r="B17" s="5" t="s">
        <v>151</v>
      </c>
      <c r="C17" s="23">
        <f t="shared" si="5"/>
        <v>8</v>
      </c>
      <c r="D17" s="17">
        <f>IFERROR(__xludf.DUMMYFUNCTION("IF(C17, COUNTIF(FILTER($D$19:$D1000, $A$19:$A1000=A17), TRUE)/C17, 0)"),0.375)</f>
        <v>0.375</v>
      </c>
      <c r="E17" s="83">
        <v>1.593108436E9</v>
      </c>
      <c r="F17" s="68">
        <f>IFERROR(__xludf.DUMMYFUNCTION("INDEX(SPLIT(E17, char(10)), 0, 1)/86400+date(1970,1,1)"),44007.7550462963)</f>
        <v>44007.75505</v>
      </c>
      <c r="G17" s="84" t="s">
        <v>1209</v>
      </c>
      <c r="H17" s="84" t="s">
        <v>1210</v>
      </c>
      <c r="I17" s="46" t="s">
        <v>13</v>
      </c>
      <c r="J17" s="5"/>
      <c r="K17" s="5"/>
      <c r="L17" s="5"/>
      <c r="M17" s="5"/>
      <c r="N17" s="5"/>
      <c r="O17" s="5"/>
      <c r="P17" s="5"/>
      <c r="Q17" s="5"/>
      <c r="R17" s="5"/>
      <c r="S17" s="5"/>
      <c r="T17" s="5"/>
      <c r="U17" s="5"/>
      <c r="V17" s="5"/>
      <c r="W17" s="5"/>
      <c r="X17" s="5"/>
      <c r="Y17" s="5"/>
      <c r="Z17" s="5"/>
      <c r="AA17" s="5"/>
    </row>
    <row r="18">
      <c r="A18" s="71"/>
      <c r="B18" s="13" t="s">
        <v>6</v>
      </c>
      <c r="C18" s="23">
        <f>SUM(C14:C17)</f>
        <v>18</v>
      </c>
      <c r="D18" s="17">
        <f>COUNTIF($D$19:$D1000, TRUE)/SUM($C$14:$C$17)</f>
        <v>0.6666666667</v>
      </c>
      <c r="E18" s="83">
        <v>1.593108839E9</v>
      </c>
      <c r="F18" s="68">
        <f>IFERROR(__xludf.DUMMYFUNCTION("INDEX(SPLIT(E18, char(10)), 0, 1)/86400+date(1970,1,1)"),44007.75971064815)</f>
        <v>44007.75971</v>
      </c>
      <c r="G18" s="84" t="s">
        <v>251</v>
      </c>
      <c r="H18" s="84" t="s">
        <v>1211</v>
      </c>
      <c r="I18" s="46" t="s">
        <v>11</v>
      </c>
      <c r="J18" s="5"/>
      <c r="K18" s="5"/>
      <c r="L18" s="5"/>
      <c r="M18" s="5"/>
      <c r="N18" s="5"/>
      <c r="O18" s="5"/>
      <c r="P18" s="5"/>
      <c r="Q18" s="5"/>
      <c r="R18" s="5"/>
      <c r="S18" s="5"/>
      <c r="T18" s="5"/>
      <c r="U18" s="5"/>
      <c r="V18" s="5"/>
      <c r="W18" s="5"/>
      <c r="X18" s="5"/>
      <c r="Y18" s="5"/>
      <c r="Z18" s="5"/>
      <c r="AA18" s="5"/>
    </row>
    <row r="19">
      <c r="A19" s="5" t="s">
        <v>4</v>
      </c>
      <c r="B19" s="5" t="s">
        <v>161</v>
      </c>
      <c r="C19" s="25">
        <v>1.0</v>
      </c>
      <c r="D19" s="79" t="b">
        <v>0</v>
      </c>
      <c r="E19" s="83">
        <v>1.593109118E9</v>
      </c>
      <c r="F19" s="68">
        <f>IFERROR(__xludf.DUMMYFUNCTION("INDEX(SPLIT(E19, char(10)), 0, 1)/86400+date(1970,1,1)"),44007.76293981481)</f>
        <v>44007.76294</v>
      </c>
      <c r="G19" s="84" t="s">
        <v>1212</v>
      </c>
      <c r="H19" s="84" t="s">
        <v>1213</v>
      </c>
      <c r="I19" s="46" t="s">
        <v>14</v>
      </c>
      <c r="J19" s="5"/>
      <c r="K19" s="5"/>
      <c r="L19" s="5"/>
      <c r="M19" s="5"/>
      <c r="N19" s="5"/>
      <c r="O19" s="5"/>
      <c r="P19" s="5"/>
      <c r="Q19" s="5"/>
      <c r="R19" s="5"/>
      <c r="S19" s="5"/>
      <c r="T19" s="5"/>
      <c r="U19" s="5"/>
      <c r="V19" s="5"/>
      <c r="W19" s="5"/>
      <c r="X19" s="5"/>
      <c r="Y19" s="5"/>
      <c r="Z19" s="5"/>
      <c r="AA19" s="5"/>
    </row>
    <row r="20">
      <c r="A20" s="5" t="s">
        <v>141</v>
      </c>
      <c r="B20" s="5" t="s">
        <v>893</v>
      </c>
      <c r="C20" s="25">
        <v>8.0</v>
      </c>
      <c r="D20" s="79" t="b">
        <v>1</v>
      </c>
      <c r="E20" s="83">
        <v>1.593109308E9</v>
      </c>
      <c r="F20" s="68">
        <f>IFERROR(__xludf.DUMMYFUNCTION("INDEX(SPLIT(E20, char(10)), 0, 1)/86400+date(1970,1,1)"),44007.76513888889)</f>
        <v>44007.76514</v>
      </c>
      <c r="G20" s="84" t="s">
        <v>1214</v>
      </c>
      <c r="H20" s="84" t="s">
        <v>1215</v>
      </c>
      <c r="I20" s="46" t="s">
        <v>13</v>
      </c>
      <c r="J20" s="5"/>
      <c r="K20" s="5"/>
      <c r="L20" s="5"/>
      <c r="M20" s="5"/>
      <c r="N20" s="5"/>
      <c r="O20" s="5"/>
      <c r="P20" s="5"/>
      <c r="Q20" s="5"/>
      <c r="R20" s="5"/>
      <c r="S20" s="5"/>
      <c r="T20" s="5"/>
      <c r="U20" s="5"/>
      <c r="V20" s="5"/>
      <c r="W20" s="5"/>
      <c r="X20" s="5"/>
      <c r="Y20" s="5"/>
      <c r="Z20" s="5"/>
      <c r="AA20" s="5"/>
    </row>
    <row r="21">
      <c r="A21" s="5" t="s">
        <v>3</v>
      </c>
      <c r="B21" s="5" t="s">
        <v>896</v>
      </c>
      <c r="C21" s="25">
        <v>11.0</v>
      </c>
      <c r="D21" s="79" t="b">
        <v>1</v>
      </c>
      <c r="E21" s="83">
        <v>1.593109528E9</v>
      </c>
      <c r="F21" s="68">
        <f>IFERROR(__xludf.DUMMYFUNCTION("INDEX(SPLIT(E21, char(10)), 0, 1)/86400+date(1970,1,1)"),44007.76768518519)</f>
        <v>44007.76769</v>
      </c>
      <c r="G21" s="84" t="s">
        <v>1216</v>
      </c>
      <c r="H21" s="84" t="s">
        <v>1217</v>
      </c>
      <c r="I21" s="46" t="s">
        <v>14</v>
      </c>
      <c r="J21" s="5"/>
      <c r="K21" s="5"/>
      <c r="L21" s="5"/>
      <c r="M21" s="5"/>
      <c r="N21" s="5"/>
      <c r="O21" s="5"/>
      <c r="P21" s="5"/>
      <c r="Q21" s="5"/>
      <c r="R21" s="5"/>
      <c r="S21" s="5"/>
      <c r="T21" s="5"/>
      <c r="U21" s="5"/>
      <c r="V21" s="5"/>
      <c r="W21" s="5"/>
      <c r="X21" s="5"/>
      <c r="Y21" s="5"/>
      <c r="Z21" s="5"/>
      <c r="AA21" s="5"/>
    </row>
    <row r="22">
      <c r="A22" s="5" t="s">
        <v>141</v>
      </c>
      <c r="B22" s="5" t="s">
        <v>899</v>
      </c>
      <c r="C22" s="25">
        <v>20.0</v>
      </c>
      <c r="D22" s="79" t="b">
        <v>1</v>
      </c>
      <c r="E22" s="83">
        <v>1.593109722E9</v>
      </c>
      <c r="F22" s="68">
        <f>IFERROR(__xludf.DUMMYFUNCTION("INDEX(SPLIT(E22, char(10)), 0, 1)/86400+date(1970,1,1)"),44007.76993055556)</f>
        <v>44007.76993</v>
      </c>
      <c r="G22" s="84" t="s">
        <v>1218</v>
      </c>
      <c r="H22" s="84" t="s">
        <v>1219</v>
      </c>
      <c r="I22" s="46" t="s">
        <v>14</v>
      </c>
      <c r="J22" s="5"/>
      <c r="K22" s="5"/>
      <c r="L22" s="5"/>
      <c r="M22" s="5"/>
      <c r="N22" s="5"/>
      <c r="O22" s="5"/>
      <c r="P22" s="5"/>
      <c r="Q22" s="5"/>
      <c r="R22" s="5"/>
      <c r="S22" s="5"/>
      <c r="T22" s="5"/>
      <c r="U22" s="5"/>
      <c r="V22" s="5"/>
      <c r="W22" s="5"/>
      <c r="X22" s="5"/>
      <c r="Y22" s="5"/>
      <c r="Z22" s="5"/>
      <c r="AA22" s="5"/>
    </row>
    <row r="23">
      <c r="A23" s="5" t="s">
        <v>4</v>
      </c>
      <c r="B23" s="5" t="s">
        <v>167</v>
      </c>
      <c r="C23" s="25">
        <v>45.0</v>
      </c>
      <c r="D23" s="79" t="b">
        <v>1</v>
      </c>
      <c r="E23" s="83">
        <v>1.593109896E9</v>
      </c>
      <c r="F23" s="68">
        <f>IFERROR(__xludf.DUMMYFUNCTION("INDEX(SPLIT(E23, char(10)), 0, 1)/86400+date(1970,1,1)"),44007.771944444445)</f>
        <v>44007.77194</v>
      </c>
      <c r="G23" s="84" t="s">
        <v>1220</v>
      </c>
      <c r="H23" s="84" t="s">
        <v>1221</v>
      </c>
      <c r="I23" s="46" t="s">
        <v>13</v>
      </c>
      <c r="J23" s="5"/>
      <c r="K23" s="5"/>
      <c r="L23" s="5"/>
      <c r="M23" s="5"/>
      <c r="N23" s="5"/>
      <c r="O23" s="5"/>
      <c r="P23" s="5"/>
      <c r="Q23" s="5"/>
      <c r="R23" s="5"/>
      <c r="S23" s="5"/>
      <c r="T23" s="5"/>
      <c r="U23" s="5"/>
      <c r="V23" s="5"/>
      <c r="W23" s="5"/>
      <c r="X23" s="5"/>
      <c r="Y23" s="5"/>
      <c r="Z23" s="5"/>
      <c r="AA23" s="5"/>
    </row>
    <row r="24">
      <c r="A24" s="5" t="s">
        <v>4</v>
      </c>
      <c r="B24" s="5" t="s">
        <v>170</v>
      </c>
      <c r="C24" s="25">
        <v>45.0</v>
      </c>
      <c r="D24" s="79" t="b">
        <v>1</v>
      </c>
      <c r="E24" s="83">
        <v>1.593109991E9</v>
      </c>
      <c r="F24" s="68">
        <f>IFERROR(__xludf.DUMMYFUNCTION("INDEX(SPLIT(E24, char(10)), 0, 1)/86400+date(1970,1,1)"),44007.77304398148)</f>
        <v>44007.77304</v>
      </c>
      <c r="G24" s="84" t="s">
        <v>1222</v>
      </c>
      <c r="H24" s="84" t="s">
        <v>1223</v>
      </c>
      <c r="I24" s="46" t="s">
        <v>14</v>
      </c>
      <c r="J24" s="5"/>
      <c r="K24" s="5"/>
      <c r="L24" s="5"/>
      <c r="M24" s="5"/>
      <c r="N24" s="5"/>
      <c r="O24" s="5"/>
      <c r="P24" s="5"/>
      <c r="Q24" s="5"/>
      <c r="R24" s="5"/>
      <c r="S24" s="5"/>
      <c r="T24" s="5"/>
      <c r="U24" s="5"/>
      <c r="V24" s="5"/>
      <c r="W24" s="5"/>
      <c r="X24" s="5"/>
      <c r="Y24" s="5"/>
      <c r="Z24" s="5"/>
      <c r="AA24" s="5"/>
    </row>
    <row r="25">
      <c r="A25" s="5" t="s">
        <v>5</v>
      </c>
      <c r="B25" s="71" t="s">
        <v>906</v>
      </c>
      <c r="C25" s="25">
        <v>46.0</v>
      </c>
      <c r="D25" s="79" t="b">
        <v>1</v>
      </c>
      <c r="E25" s="83">
        <v>1.593110273E9</v>
      </c>
      <c r="F25" s="68">
        <f>IFERROR(__xludf.DUMMYFUNCTION("INDEX(SPLIT(E25, char(10)), 0, 1)/86400+date(1970,1,1)"),44007.77630787037)</f>
        <v>44007.77631</v>
      </c>
      <c r="G25" s="84" t="s">
        <v>1224</v>
      </c>
      <c r="H25" s="84" t="s">
        <v>1225</v>
      </c>
      <c r="I25" s="46" t="s">
        <v>14</v>
      </c>
      <c r="J25" s="5"/>
      <c r="K25" s="5"/>
      <c r="L25" s="5"/>
      <c r="M25" s="5"/>
      <c r="N25" s="5"/>
      <c r="O25" s="5"/>
      <c r="P25" s="5"/>
      <c r="Q25" s="5"/>
      <c r="R25" s="5"/>
      <c r="S25" s="5"/>
      <c r="T25" s="5"/>
      <c r="U25" s="5"/>
      <c r="V25" s="5"/>
      <c r="W25" s="5"/>
      <c r="X25" s="5"/>
      <c r="Y25" s="5"/>
      <c r="Z25" s="5"/>
      <c r="AA25" s="5"/>
    </row>
    <row r="26">
      <c r="A26" s="5" t="s">
        <v>5</v>
      </c>
      <c r="B26" s="71" t="s">
        <v>908</v>
      </c>
      <c r="C26" s="25">
        <v>46.0</v>
      </c>
      <c r="D26" s="79" t="b">
        <v>0</v>
      </c>
      <c r="E26" s="83">
        <v>1.593110426E9</v>
      </c>
      <c r="F26" s="68">
        <f>IFERROR(__xludf.DUMMYFUNCTION("INDEX(SPLIT(E26, char(10)), 0, 1)/86400+date(1970,1,1)"),44007.778078703705)</f>
        <v>44007.77808</v>
      </c>
      <c r="G26" s="84" t="s">
        <v>1226</v>
      </c>
      <c r="H26" s="84" t="s">
        <v>1227</v>
      </c>
      <c r="I26" s="46" t="s">
        <v>12</v>
      </c>
      <c r="J26" s="5"/>
      <c r="K26" s="5"/>
      <c r="L26" s="5"/>
      <c r="M26" s="5"/>
      <c r="N26" s="5"/>
      <c r="O26" s="5"/>
      <c r="P26" s="5"/>
      <c r="Q26" s="5"/>
      <c r="R26" s="5"/>
      <c r="S26" s="5"/>
      <c r="T26" s="5"/>
      <c r="U26" s="5"/>
      <c r="V26" s="5"/>
      <c r="W26" s="5"/>
      <c r="X26" s="5"/>
      <c r="Y26" s="5"/>
      <c r="Z26" s="5"/>
      <c r="AA26" s="5"/>
    </row>
    <row r="27">
      <c r="A27" s="5" t="s">
        <v>3</v>
      </c>
      <c r="B27" s="71" t="s">
        <v>911</v>
      </c>
      <c r="C27" s="25">
        <v>47.0</v>
      </c>
      <c r="D27" s="79" t="b">
        <v>1</v>
      </c>
      <c r="E27" s="83">
        <v>1.593110589E9</v>
      </c>
      <c r="F27" s="68">
        <f>IFERROR(__xludf.DUMMYFUNCTION("INDEX(SPLIT(E27, char(10)), 0, 1)/86400+date(1970,1,1)"),44007.779965277776)</f>
        <v>44007.77997</v>
      </c>
      <c r="G27" s="84" t="s">
        <v>1228</v>
      </c>
      <c r="H27" s="84" t="s">
        <v>1229</v>
      </c>
      <c r="I27" s="46" t="s">
        <v>13</v>
      </c>
      <c r="J27" s="5"/>
      <c r="K27" s="5"/>
      <c r="L27" s="5"/>
      <c r="M27" s="5"/>
      <c r="N27" s="5"/>
      <c r="O27" s="5"/>
      <c r="P27" s="5"/>
      <c r="Q27" s="5"/>
      <c r="R27" s="5"/>
      <c r="S27" s="5"/>
      <c r="T27" s="5"/>
      <c r="U27" s="5"/>
      <c r="V27" s="5"/>
      <c r="W27" s="5"/>
      <c r="X27" s="5"/>
      <c r="Y27" s="5"/>
      <c r="Z27" s="5"/>
      <c r="AA27" s="5"/>
    </row>
    <row r="28">
      <c r="A28" s="5" t="s">
        <v>5</v>
      </c>
      <c r="B28" s="71" t="s">
        <v>914</v>
      </c>
      <c r="C28" s="25">
        <v>64.0</v>
      </c>
      <c r="D28" s="79" t="b">
        <v>1</v>
      </c>
      <c r="E28" s="87">
        <v>1.5931107E9</v>
      </c>
      <c r="F28" s="68">
        <f>IFERROR(__xludf.DUMMYFUNCTION("INDEX(SPLIT(E28, char(10)), 0, 1)/86400+date(1970,1,1)"),44007.78125)</f>
        <v>44007.78125</v>
      </c>
      <c r="G28" s="84" t="s">
        <v>1230</v>
      </c>
      <c r="H28" s="84" t="s">
        <v>1231</v>
      </c>
      <c r="I28" s="46" t="s">
        <v>14</v>
      </c>
      <c r="J28" s="5"/>
      <c r="K28" s="5"/>
      <c r="L28" s="5"/>
      <c r="M28" s="5"/>
      <c r="N28" s="5"/>
      <c r="O28" s="5"/>
      <c r="P28" s="5"/>
      <c r="Q28" s="5"/>
      <c r="R28" s="5"/>
      <c r="S28" s="5"/>
      <c r="T28" s="5"/>
      <c r="U28" s="5"/>
      <c r="V28" s="5"/>
      <c r="W28" s="5"/>
      <c r="X28" s="5"/>
      <c r="Y28" s="5"/>
      <c r="Z28" s="5"/>
      <c r="AA28" s="5"/>
    </row>
    <row r="29">
      <c r="A29" s="5" t="s">
        <v>5</v>
      </c>
      <c r="B29" s="71" t="s">
        <v>917</v>
      </c>
      <c r="C29" s="25">
        <v>70.0</v>
      </c>
      <c r="D29" s="79" t="b">
        <v>1</v>
      </c>
      <c r="E29" s="78">
        <v>1.59311079E9</v>
      </c>
      <c r="F29" s="68">
        <f>IFERROR(__xludf.DUMMYFUNCTION("INDEX(SPLIT(E29, char(10)), 0, 1)/86400+date(1970,1,1)"),44007.78229166666)</f>
        <v>44007.78229</v>
      </c>
      <c r="G29" s="84" t="s">
        <v>1232</v>
      </c>
      <c r="H29" s="84" t="s">
        <v>1233</v>
      </c>
      <c r="I29" s="46" t="s">
        <v>13</v>
      </c>
      <c r="J29" s="5"/>
      <c r="K29" s="5"/>
      <c r="L29" s="5"/>
      <c r="M29" s="5"/>
      <c r="N29" s="5"/>
      <c r="O29" s="5"/>
      <c r="P29" s="5"/>
      <c r="Q29" s="5"/>
      <c r="R29" s="5"/>
      <c r="S29" s="5"/>
      <c r="T29" s="5"/>
      <c r="U29" s="5"/>
      <c r="V29" s="5"/>
      <c r="W29" s="5"/>
      <c r="X29" s="5"/>
      <c r="Y29" s="5"/>
      <c r="Z29" s="5"/>
      <c r="AA29" s="5"/>
    </row>
    <row r="30">
      <c r="A30" s="5" t="s">
        <v>5</v>
      </c>
      <c r="B30" s="71" t="s">
        <v>920</v>
      </c>
      <c r="C30" s="25">
        <v>79.0</v>
      </c>
      <c r="D30" s="79" t="b">
        <v>0</v>
      </c>
      <c r="E30" s="87">
        <v>1.593110966E9</v>
      </c>
      <c r="F30" s="68">
        <f>IFERROR(__xludf.DUMMYFUNCTION("INDEX(SPLIT(E30, char(10)), 0, 1)/86400+date(1970,1,1)"),44007.7843287037)</f>
        <v>44007.78433</v>
      </c>
      <c r="G30" s="84" t="s">
        <v>1234</v>
      </c>
      <c r="H30" s="84" t="s">
        <v>1235</v>
      </c>
      <c r="I30" s="46" t="s">
        <v>93</v>
      </c>
      <c r="J30" s="5"/>
      <c r="K30" s="5"/>
      <c r="L30" s="5"/>
      <c r="M30" s="5"/>
      <c r="N30" s="5"/>
      <c r="O30" s="5"/>
      <c r="P30" s="5"/>
      <c r="Q30" s="5"/>
      <c r="R30" s="5"/>
      <c r="S30" s="5"/>
      <c r="T30" s="5"/>
      <c r="U30" s="5"/>
      <c r="V30" s="5"/>
      <c r="W30" s="5"/>
      <c r="X30" s="5"/>
      <c r="Y30" s="5"/>
      <c r="Z30" s="5"/>
      <c r="AA30" s="5"/>
    </row>
    <row r="31">
      <c r="A31" s="5" t="s">
        <v>5</v>
      </c>
      <c r="B31" s="71" t="s">
        <v>923</v>
      </c>
      <c r="C31" s="25">
        <v>80.0</v>
      </c>
      <c r="D31" s="79" t="b">
        <v>0</v>
      </c>
      <c r="E31" s="87">
        <v>1.593111448E9</v>
      </c>
      <c r="F31" s="68">
        <f>IFERROR(__xludf.DUMMYFUNCTION("INDEX(SPLIT(E31, char(10)), 0, 1)/86400+date(1970,1,1)"),44007.78990740741)</f>
        <v>44007.78991</v>
      </c>
      <c r="G31" s="84" t="s">
        <v>1236</v>
      </c>
      <c r="H31" s="84" t="s">
        <v>1237</v>
      </c>
      <c r="I31" s="46" t="s">
        <v>13</v>
      </c>
      <c r="J31" s="5"/>
      <c r="K31" s="5"/>
      <c r="L31" s="5"/>
      <c r="M31" s="5"/>
      <c r="N31" s="5"/>
      <c r="O31" s="5"/>
      <c r="P31" s="5"/>
      <c r="Q31" s="5"/>
      <c r="R31" s="5"/>
      <c r="S31" s="5"/>
      <c r="T31" s="5"/>
      <c r="U31" s="5"/>
      <c r="V31" s="5"/>
      <c r="W31" s="5"/>
      <c r="X31" s="5"/>
      <c r="Y31" s="5"/>
      <c r="Z31" s="5"/>
      <c r="AA31" s="5"/>
    </row>
    <row r="32">
      <c r="A32" s="5" t="s">
        <v>3</v>
      </c>
      <c r="B32" s="71" t="s">
        <v>926</v>
      </c>
      <c r="C32" s="25">
        <v>85.0</v>
      </c>
      <c r="D32" s="79" t="b">
        <v>1</v>
      </c>
      <c r="E32" s="87"/>
      <c r="F32" s="68"/>
      <c r="G32" s="84"/>
      <c r="H32" s="84"/>
      <c r="I32" s="46"/>
      <c r="J32" s="5"/>
      <c r="K32" s="5"/>
      <c r="L32" s="5"/>
      <c r="M32" s="5"/>
      <c r="N32" s="5"/>
      <c r="O32" s="5"/>
      <c r="P32" s="5"/>
      <c r="Q32" s="5"/>
      <c r="R32" s="5"/>
      <c r="S32" s="5"/>
      <c r="T32" s="5"/>
      <c r="U32" s="5"/>
      <c r="V32" s="5"/>
      <c r="W32" s="5"/>
      <c r="X32" s="5"/>
      <c r="Y32" s="5"/>
      <c r="Z32" s="5"/>
      <c r="AA32" s="5"/>
    </row>
    <row r="33">
      <c r="A33" s="5" t="s">
        <v>141</v>
      </c>
      <c r="B33" s="71" t="s">
        <v>929</v>
      </c>
      <c r="C33" s="25">
        <v>86.0</v>
      </c>
      <c r="D33" s="79" t="b">
        <v>1</v>
      </c>
      <c r="E33" s="87"/>
      <c r="F33" s="68"/>
      <c r="G33" s="84"/>
      <c r="H33" s="84"/>
      <c r="I33" s="46"/>
      <c r="J33" s="5"/>
      <c r="K33" s="5"/>
      <c r="L33" s="5"/>
      <c r="M33" s="5"/>
      <c r="N33" s="5"/>
      <c r="O33" s="5"/>
      <c r="P33" s="5"/>
      <c r="Q33" s="5"/>
      <c r="R33" s="5"/>
      <c r="S33" s="5"/>
      <c r="T33" s="5"/>
      <c r="U33" s="5"/>
      <c r="V33" s="5"/>
      <c r="W33" s="5"/>
      <c r="X33" s="5"/>
      <c r="Y33" s="5"/>
      <c r="Z33" s="5"/>
      <c r="AA33" s="5"/>
    </row>
    <row r="34">
      <c r="A34" s="5" t="s">
        <v>5</v>
      </c>
      <c r="B34" s="71" t="s">
        <v>932</v>
      </c>
      <c r="C34" s="25">
        <v>90.0</v>
      </c>
      <c r="D34" s="79" t="b">
        <v>0</v>
      </c>
      <c r="E34" s="87"/>
      <c r="F34" s="68"/>
      <c r="G34" s="84"/>
      <c r="H34" s="84"/>
      <c r="I34" s="46"/>
      <c r="J34" s="5"/>
      <c r="K34" s="5"/>
      <c r="L34" s="5"/>
      <c r="M34" s="5"/>
      <c r="N34" s="5"/>
      <c r="O34" s="5"/>
      <c r="P34" s="5"/>
      <c r="Q34" s="5"/>
      <c r="R34" s="5"/>
      <c r="S34" s="5"/>
      <c r="T34" s="5"/>
      <c r="U34" s="5"/>
      <c r="V34" s="5"/>
      <c r="W34" s="5"/>
      <c r="X34" s="5"/>
      <c r="Y34" s="5"/>
      <c r="Z34" s="5"/>
      <c r="AA34" s="5"/>
    </row>
    <row r="35">
      <c r="A35" s="5" t="s">
        <v>5</v>
      </c>
      <c r="B35" s="71" t="s">
        <v>935</v>
      </c>
      <c r="C35" s="25">
        <v>90.0</v>
      </c>
      <c r="D35" s="79" t="b">
        <v>0</v>
      </c>
      <c r="E35" s="95"/>
      <c r="F35" s="68"/>
      <c r="G35" s="84"/>
      <c r="H35" s="84"/>
      <c r="I35" s="46"/>
      <c r="J35" s="5"/>
      <c r="K35" s="5"/>
      <c r="L35" s="5"/>
      <c r="M35" s="5"/>
      <c r="N35" s="5"/>
      <c r="O35" s="5"/>
      <c r="P35" s="5"/>
      <c r="Q35" s="5"/>
      <c r="R35" s="5"/>
      <c r="S35" s="5"/>
      <c r="T35" s="5"/>
      <c r="U35" s="5"/>
      <c r="V35" s="5"/>
      <c r="W35" s="5"/>
      <c r="X35" s="5"/>
      <c r="Y35" s="5"/>
      <c r="Z35" s="5"/>
      <c r="AA35" s="5"/>
    </row>
    <row r="36">
      <c r="A36" s="5" t="s">
        <v>4</v>
      </c>
      <c r="B36" s="71" t="s">
        <v>195</v>
      </c>
      <c r="C36" s="25">
        <v>90.0</v>
      </c>
      <c r="D36" s="79" t="b">
        <v>1</v>
      </c>
      <c r="E36" s="95"/>
      <c r="F36" s="68"/>
      <c r="G36" s="84"/>
      <c r="H36" s="84"/>
      <c r="I36" s="46"/>
      <c r="J36" s="5"/>
      <c r="K36" s="5"/>
      <c r="L36" s="5"/>
      <c r="M36" s="5"/>
      <c r="N36" s="5"/>
      <c r="O36" s="5"/>
      <c r="P36" s="5"/>
      <c r="Q36" s="5"/>
      <c r="R36" s="5"/>
      <c r="S36" s="5"/>
      <c r="T36" s="5"/>
      <c r="U36" s="5"/>
      <c r="V36" s="5"/>
      <c r="W36" s="5"/>
      <c r="X36" s="5"/>
      <c r="Y36" s="5"/>
      <c r="Z36" s="5"/>
      <c r="AA36" s="5"/>
    </row>
    <row r="37">
      <c r="A37" s="5"/>
      <c r="B37" s="71"/>
      <c r="C37" s="25"/>
      <c r="D37" s="5"/>
      <c r="E37" s="95"/>
      <c r="F37" s="68"/>
      <c r="G37" s="84"/>
      <c r="H37" s="84"/>
      <c r="I37" s="46"/>
      <c r="J37" s="5"/>
      <c r="K37" s="5"/>
      <c r="L37" s="5"/>
      <c r="M37" s="5"/>
      <c r="N37" s="5"/>
      <c r="O37" s="5"/>
      <c r="P37" s="5"/>
      <c r="Q37" s="5"/>
      <c r="R37" s="5"/>
      <c r="S37" s="5"/>
      <c r="T37" s="5"/>
      <c r="U37" s="5"/>
      <c r="V37" s="5"/>
      <c r="W37" s="5"/>
      <c r="X37" s="5"/>
      <c r="Y37" s="5"/>
      <c r="Z37" s="5"/>
      <c r="AA37" s="5"/>
    </row>
    <row r="38">
      <c r="A38" s="46" t="s">
        <v>1238</v>
      </c>
      <c r="B38" s="46" t="s">
        <v>1239</v>
      </c>
      <c r="C38" s="77" t="s">
        <v>1240</v>
      </c>
      <c r="D38" s="46" t="s">
        <v>1241</v>
      </c>
      <c r="E38" s="46" t="s">
        <v>1242</v>
      </c>
      <c r="F38" s="76"/>
      <c r="G38" s="5"/>
      <c r="H38" s="5"/>
      <c r="I38" s="5"/>
      <c r="J38" s="5"/>
      <c r="K38" s="5"/>
      <c r="L38" s="5"/>
      <c r="M38" s="5"/>
      <c r="N38" s="5"/>
      <c r="O38" s="5"/>
      <c r="P38" s="5"/>
      <c r="Q38" s="5"/>
      <c r="R38" s="5"/>
      <c r="S38" s="5"/>
      <c r="T38" s="5"/>
      <c r="U38" s="5"/>
      <c r="V38" s="5"/>
      <c r="W38" s="5"/>
      <c r="X38" s="5"/>
      <c r="Y38" s="5"/>
      <c r="Z38" s="5"/>
      <c r="AA38" s="5"/>
    </row>
    <row r="39">
      <c r="A39" s="46">
        <v>0.0</v>
      </c>
      <c r="B39" s="46">
        <v>1.593104255E9</v>
      </c>
      <c r="C39" s="77" t="s">
        <v>1243</v>
      </c>
      <c r="D39" s="46" t="s">
        <v>1098</v>
      </c>
      <c r="E39" s="46" t="s">
        <v>1244</v>
      </c>
      <c r="F39" s="76"/>
      <c r="G39" s="5"/>
      <c r="H39" s="5"/>
      <c r="I39" s="5"/>
      <c r="J39" s="5"/>
      <c r="K39" s="5"/>
      <c r="L39" s="5"/>
      <c r="M39" s="5"/>
      <c r="N39" s="5"/>
      <c r="O39" s="5"/>
      <c r="P39" s="5"/>
      <c r="Q39" s="5"/>
      <c r="R39" s="5"/>
      <c r="S39" s="5"/>
      <c r="T39" s="5"/>
      <c r="U39" s="5"/>
      <c r="V39" s="5"/>
      <c r="W39" s="5"/>
      <c r="X39" s="5"/>
      <c r="Y39" s="5"/>
      <c r="Z39" s="5"/>
      <c r="AA39" s="5"/>
    </row>
    <row r="40">
      <c r="A40" s="46">
        <v>1.0</v>
      </c>
      <c r="B40" s="46">
        <v>1.593104923E9</v>
      </c>
      <c r="C40" s="77" t="s">
        <v>1243</v>
      </c>
      <c r="D40" s="46" t="s">
        <v>1179</v>
      </c>
      <c r="E40" s="46" t="s">
        <v>1180</v>
      </c>
      <c r="F40" s="76"/>
      <c r="G40" s="5"/>
      <c r="H40" s="5"/>
      <c r="I40" s="5"/>
      <c r="J40" s="5"/>
      <c r="K40" s="5"/>
      <c r="L40" s="5"/>
      <c r="M40" s="5"/>
      <c r="N40" s="5"/>
      <c r="O40" s="5"/>
      <c r="P40" s="5"/>
      <c r="Q40" s="5"/>
      <c r="R40" s="5"/>
      <c r="S40" s="5"/>
      <c r="T40" s="5"/>
      <c r="U40" s="5"/>
      <c r="V40" s="5"/>
      <c r="W40" s="5"/>
      <c r="X40" s="5"/>
      <c r="Y40" s="5"/>
      <c r="Z40" s="5"/>
      <c r="AA40" s="5"/>
    </row>
    <row r="41">
      <c r="A41" s="46">
        <v>2.0</v>
      </c>
      <c r="B41" s="46">
        <v>1.593105059E9</v>
      </c>
      <c r="C41" s="77" t="s">
        <v>1243</v>
      </c>
      <c r="D41" s="46" t="s">
        <v>1181</v>
      </c>
      <c r="E41" s="46" t="s">
        <v>1182</v>
      </c>
      <c r="F41" s="76"/>
      <c r="G41" s="5"/>
      <c r="H41" s="5"/>
      <c r="I41" s="5"/>
      <c r="J41" s="5"/>
      <c r="K41" s="5"/>
      <c r="L41" s="5"/>
      <c r="M41" s="5"/>
      <c r="N41" s="5"/>
      <c r="O41" s="5"/>
      <c r="P41" s="5"/>
      <c r="Q41" s="5"/>
      <c r="R41" s="5"/>
      <c r="S41" s="5"/>
      <c r="T41" s="5"/>
      <c r="U41" s="5"/>
      <c r="V41" s="5"/>
      <c r="W41" s="5"/>
      <c r="X41" s="5"/>
      <c r="Y41" s="5"/>
      <c r="Z41" s="5"/>
      <c r="AA41" s="5"/>
    </row>
    <row r="42">
      <c r="A42" s="46">
        <v>3.0</v>
      </c>
      <c r="B42" s="46">
        <v>1.593105158E9</v>
      </c>
      <c r="C42" s="77" t="s">
        <v>1243</v>
      </c>
      <c r="D42" s="46" t="s">
        <v>1183</v>
      </c>
      <c r="E42" s="46" t="s">
        <v>1184</v>
      </c>
      <c r="F42" s="76"/>
      <c r="G42" s="5"/>
      <c r="H42" s="5"/>
      <c r="I42" s="5"/>
      <c r="J42" s="5"/>
      <c r="K42" s="5"/>
      <c r="L42" s="5"/>
      <c r="M42" s="5"/>
      <c r="N42" s="5"/>
      <c r="O42" s="5"/>
      <c r="P42" s="5"/>
      <c r="Q42" s="5"/>
      <c r="R42" s="5"/>
      <c r="S42" s="5"/>
      <c r="T42" s="5"/>
      <c r="U42" s="5"/>
      <c r="V42" s="5"/>
      <c r="W42" s="5"/>
      <c r="X42" s="5"/>
      <c r="Y42" s="5"/>
      <c r="Z42" s="5"/>
      <c r="AA42" s="5"/>
    </row>
    <row r="43">
      <c r="A43" s="46">
        <v>4.0</v>
      </c>
      <c r="B43" s="46">
        <v>1.593105366E9</v>
      </c>
      <c r="C43" s="46" t="s">
        <v>1243</v>
      </c>
      <c r="D43" s="46" t="s">
        <v>1185</v>
      </c>
      <c r="E43" s="46" t="s">
        <v>1186</v>
      </c>
      <c r="F43" s="76"/>
      <c r="G43" s="5"/>
      <c r="H43" s="5"/>
      <c r="I43" s="5"/>
      <c r="J43" s="5"/>
      <c r="K43" s="5"/>
      <c r="L43" s="5"/>
      <c r="M43" s="5"/>
      <c r="N43" s="5"/>
      <c r="O43" s="5"/>
      <c r="P43" s="5"/>
      <c r="Q43" s="5"/>
      <c r="R43" s="5"/>
      <c r="S43" s="5"/>
      <c r="T43" s="5"/>
      <c r="U43" s="5"/>
      <c r="V43" s="5"/>
      <c r="W43" s="5"/>
      <c r="X43" s="5"/>
      <c r="Y43" s="5"/>
      <c r="Z43" s="5"/>
      <c r="AA43" s="5"/>
    </row>
    <row r="44">
      <c r="A44" s="46">
        <v>5.0</v>
      </c>
      <c r="B44" s="46">
        <v>1.593105653E9</v>
      </c>
      <c r="C44" s="46" t="s">
        <v>1243</v>
      </c>
      <c r="D44" s="46" t="s">
        <v>1187</v>
      </c>
      <c r="E44" s="46" t="s">
        <v>1188</v>
      </c>
      <c r="F44" s="76"/>
      <c r="G44" s="5"/>
      <c r="H44" s="5"/>
      <c r="I44" s="5"/>
      <c r="J44" s="5"/>
      <c r="K44" s="5"/>
      <c r="L44" s="5"/>
      <c r="M44" s="5"/>
      <c r="N44" s="5"/>
      <c r="O44" s="5"/>
      <c r="P44" s="5"/>
      <c r="Q44" s="5"/>
      <c r="R44" s="5"/>
      <c r="S44" s="5"/>
      <c r="T44" s="5"/>
      <c r="U44" s="5"/>
      <c r="V44" s="5"/>
      <c r="W44" s="5"/>
      <c r="X44" s="5"/>
      <c r="Y44" s="5"/>
      <c r="Z44" s="5"/>
      <c r="AA44" s="5"/>
    </row>
    <row r="45">
      <c r="A45" s="46">
        <v>6.0</v>
      </c>
      <c r="B45" s="46">
        <v>1.59310577E9</v>
      </c>
      <c r="C45" s="46" t="s">
        <v>1243</v>
      </c>
      <c r="D45" s="46" t="s">
        <v>1189</v>
      </c>
      <c r="E45" s="46" t="s">
        <v>1190</v>
      </c>
      <c r="F45" s="76"/>
      <c r="G45" s="5"/>
      <c r="H45" s="5"/>
      <c r="I45" s="5"/>
      <c r="J45" s="5"/>
      <c r="K45" s="5"/>
      <c r="L45" s="5"/>
      <c r="M45" s="5"/>
      <c r="N45" s="5"/>
      <c r="O45" s="5"/>
      <c r="P45" s="5"/>
      <c r="Q45" s="5"/>
      <c r="R45" s="5"/>
      <c r="S45" s="5"/>
      <c r="T45" s="5"/>
      <c r="U45" s="5"/>
      <c r="V45" s="5"/>
      <c r="W45" s="5"/>
      <c r="X45" s="5"/>
      <c r="Y45" s="5"/>
      <c r="Z45" s="5"/>
      <c r="AA45" s="5"/>
    </row>
    <row r="46">
      <c r="A46" s="46">
        <v>7.0</v>
      </c>
      <c r="B46" s="46">
        <v>1.59310588E9</v>
      </c>
      <c r="C46" s="46" t="s">
        <v>1243</v>
      </c>
      <c r="D46" s="46" t="s">
        <v>1191</v>
      </c>
      <c r="E46" s="46" t="s">
        <v>1192</v>
      </c>
      <c r="F46" s="76"/>
      <c r="G46" s="5"/>
      <c r="H46" s="5"/>
      <c r="I46" s="5"/>
      <c r="J46" s="5"/>
      <c r="K46" s="5"/>
      <c r="L46" s="5"/>
      <c r="M46" s="5"/>
      <c r="N46" s="5"/>
      <c r="O46" s="5"/>
      <c r="P46" s="5"/>
      <c r="Q46" s="5"/>
      <c r="R46" s="5"/>
      <c r="S46" s="5"/>
      <c r="T46" s="5"/>
      <c r="U46" s="5"/>
      <c r="V46" s="5"/>
      <c r="W46" s="5"/>
      <c r="X46" s="5"/>
      <c r="Y46" s="5"/>
      <c r="Z46" s="5"/>
      <c r="AA46" s="5"/>
    </row>
    <row r="47">
      <c r="A47" s="46">
        <v>8.0</v>
      </c>
      <c r="B47" s="46">
        <v>1.593106019E9</v>
      </c>
      <c r="C47" s="46" t="s">
        <v>1243</v>
      </c>
      <c r="D47" s="46" t="s">
        <v>1193</v>
      </c>
      <c r="E47" s="46" t="s">
        <v>1194</v>
      </c>
      <c r="F47" s="76"/>
      <c r="G47" s="5"/>
      <c r="H47" s="5"/>
      <c r="I47" s="5"/>
      <c r="J47" s="5"/>
      <c r="K47" s="5"/>
      <c r="L47" s="5"/>
      <c r="M47" s="5"/>
      <c r="N47" s="5"/>
      <c r="O47" s="5"/>
      <c r="P47" s="5"/>
      <c r="Q47" s="5"/>
      <c r="R47" s="5"/>
      <c r="S47" s="5"/>
      <c r="T47" s="5"/>
      <c r="U47" s="5"/>
      <c r="V47" s="5"/>
      <c r="W47" s="5"/>
      <c r="X47" s="5"/>
      <c r="Y47" s="5"/>
      <c r="Z47" s="5"/>
      <c r="AA47" s="5"/>
    </row>
    <row r="48">
      <c r="A48" s="46">
        <v>9.0</v>
      </c>
      <c r="B48" s="46">
        <v>1.593106221E9</v>
      </c>
      <c r="C48" s="46" t="s">
        <v>1243</v>
      </c>
      <c r="D48" s="46" t="s">
        <v>1195</v>
      </c>
      <c r="E48" s="46" t="s">
        <v>1196</v>
      </c>
      <c r="F48" s="76"/>
      <c r="G48" s="5"/>
      <c r="H48" s="5"/>
      <c r="I48" s="5"/>
      <c r="J48" s="5"/>
      <c r="K48" s="5"/>
      <c r="L48" s="5"/>
      <c r="M48" s="5"/>
      <c r="N48" s="5"/>
      <c r="O48" s="5"/>
      <c r="P48" s="5"/>
      <c r="Q48" s="5"/>
      <c r="R48" s="5"/>
      <c r="S48" s="5"/>
      <c r="T48" s="5"/>
      <c r="U48" s="5"/>
      <c r="V48" s="5"/>
      <c r="W48" s="5"/>
      <c r="X48" s="5"/>
      <c r="Y48" s="5"/>
      <c r="Z48" s="5"/>
      <c r="AA48" s="5"/>
    </row>
    <row r="49">
      <c r="A49" s="46">
        <v>10.0</v>
      </c>
      <c r="B49" s="46">
        <v>1.593106831E9</v>
      </c>
      <c r="C49" s="46" t="s">
        <v>1243</v>
      </c>
      <c r="D49" s="46" t="s">
        <v>1033</v>
      </c>
      <c r="E49" s="46" t="s">
        <v>1197</v>
      </c>
      <c r="F49" s="76"/>
      <c r="G49" s="5"/>
      <c r="H49" s="5"/>
      <c r="I49" s="5"/>
      <c r="J49" s="5"/>
      <c r="K49" s="5"/>
      <c r="L49" s="5"/>
      <c r="M49" s="5"/>
      <c r="N49" s="5"/>
      <c r="O49" s="5"/>
      <c r="P49" s="5"/>
      <c r="Q49" s="5"/>
      <c r="R49" s="5"/>
      <c r="S49" s="5"/>
      <c r="T49" s="5"/>
      <c r="U49" s="5"/>
      <c r="V49" s="5"/>
      <c r="W49" s="5"/>
      <c r="X49" s="5"/>
      <c r="Y49" s="5"/>
      <c r="Z49" s="5"/>
      <c r="AA49" s="5"/>
    </row>
    <row r="50">
      <c r="A50" s="46">
        <v>11.0</v>
      </c>
      <c r="B50" s="46">
        <v>1.593106933E9</v>
      </c>
      <c r="C50" s="46" t="s">
        <v>1243</v>
      </c>
      <c r="D50" s="46" t="s">
        <v>1199</v>
      </c>
      <c r="E50" s="46" t="s">
        <v>1200</v>
      </c>
      <c r="F50" s="76"/>
      <c r="G50" s="5"/>
      <c r="H50" s="5"/>
      <c r="I50" s="5"/>
      <c r="J50" s="5"/>
      <c r="K50" s="5"/>
      <c r="L50" s="5"/>
      <c r="M50" s="5"/>
      <c r="N50" s="5"/>
      <c r="O50" s="5"/>
      <c r="P50" s="5"/>
      <c r="Q50" s="5"/>
      <c r="R50" s="5"/>
      <c r="S50" s="5"/>
      <c r="T50" s="5"/>
      <c r="U50" s="5"/>
      <c r="V50" s="5"/>
      <c r="W50" s="5"/>
      <c r="X50" s="5"/>
      <c r="Y50" s="5"/>
      <c r="Z50" s="5"/>
      <c r="AA50" s="5"/>
    </row>
    <row r="51">
      <c r="A51" s="46">
        <v>12.0</v>
      </c>
      <c r="B51" s="46">
        <v>1.593107349E9</v>
      </c>
      <c r="C51" s="46" t="s">
        <v>1243</v>
      </c>
      <c r="D51" s="46" t="s">
        <v>1201</v>
      </c>
      <c r="E51" s="46" t="s">
        <v>1202</v>
      </c>
      <c r="F51" s="76"/>
      <c r="G51" s="5"/>
      <c r="H51" s="5"/>
      <c r="I51" s="5"/>
      <c r="J51" s="5"/>
      <c r="K51" s="5"/>
      <c r="L51" s="5"/>
      <c r="M51" s="5"/>
      <c r="N51" s="5"/>
      <c r="O51" s="5"/>
      <c r="P51" s="5"/>
      <c r="Q51" s="5"/>
      <c r="R51" s="5"/>
      <c r="S51" s="5"/>
      <c r="T51" s="5"/>
      <c r="U51" s="5"/>
      <c r="V51" s="5"/>
      <c r="W51" s="5"/>
      <c r="X51" s="5"/>
      <c r="Y51" s="5"/>
      <c r="Z51" s="5"/>
      <c r="AA51" s="5"/>
    </row>
    <row r="52">
      <c r="A52" s="46">
        <v>13.0</v>
      </c>
      <c r="B52" s="46">
        <v>1.593107488E9</v>
      </c>
      <c r="C52" s="46" t="s">
        <v>1243</v>
      </c>
      <c r="D52" s="46" t="s">
        <v>1203</v>
      </c>
      <c r="E52" s="46" t="s">
        <v>1204</v>
      </c>
      <c r="F52" s="76"/>
      <c r="G52" s="5"/>
      <c r="H52" s="5"/>
      <c r="I52" s="5"/>
      <c r="J52" s="5"/>
      <c r="K52" s="5"/>
      <c r="L52" s="5"/>
      <c r="M52" s="5"/>
      <c r="N52" s="5"/>
      <c r="O52" s="5"/>
      <c r="P52" s="5"/>
      <c r="Q52" s="5"/>
      <c r="R52" s="5"/>
      <c r="S52" s="5"/>
      <c r="T52" s="5"/>
      <c r="U52" s="5"/>
      <c r="V52" s="5"/>
      <c r="W52" s="5"/>
      <c r="X52" s="5"/>
      <c r="Y52" s="5"/>
      <c r="Z52" s="5"/>
      <c r="AA52" s="5"/>
    </row>
    <row r="53">
      <c r="A53" s="46">
        <v>14.0</v>
      </c>
      <c r="B53" s="46">
        <v>1.593107662E9</v>
      </c>
      <c r="C53" s="46" t="s">
        <v>1243</v>
      </c>
      <c r="D53" s="46" t="s">
        <v>1205</v>
      </c>
      <c r="E53" s="46" t="s">
        <v>1206</v>
      </c>
      <c r="F53" s="76"/>
      <c r="G53" s="5"/>
      <c r="H53" s="5"/>
      <c r="I53" s="5"/>
      <c r="J53" s="5"/>
      <c r="K53" s="5"/>
      <c r="L53" s="5"/>
      <c r="M53" s="5"/>
      <c r="N53" s="5"/>
      <c r="O53" s="5"/>
      <c r="P53" s="5"/>
      <c r="Q53" s="5"/>
      <c r="R53" s="5"/>
      <c r="S53" s="5"/>
      <c r="T53" s="5"/>
      <c r="U53" s="5"/>
      <c r="V53" s="5"/>
      <c r="W53" s="5"/>
      <c r="X53" s="5"/>
      <c r="Y53" s="5"/>
      <c r="Z53" s="5"/>
      <c r="AA53" s="5"/>
    </row>
    <row r="54">
      <c r="A54" s="46">
        <v>15.0</v>
      </c>
      <c r="B54" s="46">
        <v>1.593108298E9</v>
      </c>
      <c r="C54" s="46" t="s">
        <v>1243</v>
      </c>
      <c r="D54" s="46" t="s">
        <v>1207</v>
      </c>
      <c r="E54" s="46" t="s">
        <v>1208</v>
      </c>
      <c r="F54" s="76"/>
      <c r="G54" s="5"/>
      <c r="H54" s="5"/>
      <c r="I54" s="5"/>
      <c r="J54" s="5"/>
      <c r="K54" s="5"/>
      <c r="L54" s="5"/>
      <c r="M54" s="5"/>
      <c r="N54" s="5"/>
      <c r="O54" s="5"/>
      <c r="P54" s="5"/>
      <c r="Q54" s="5"/>
      <c r="R54" s="5"/>
      <c r="S54" s="5"/>
      <c r="T54" s="5"/>
      <c r="U54" s="5"/>
      <c r="V54" s="5"/>
      <c r="W54" s="5"/>
      <c r="X54" s="5"/>
      <c r="Y54" s="5"/>
      <c r="Z54" s="5"/>
      <c r="AA54" s="5"/>
    </row>
    <row r="55">
      <c r="A55" s="46">
        <v>16.0</v>
      </c>
      <c r="B55" s="46">
        <v>1.593108436E9</v>
      </c>
      <c r="C55" s="46" t="s">
        <v>1243</v>
      </c>
      <c r="D55" s="46" t="s">
        <v>1209</v>
      </c>
      <c r="E55" s="46" t="s">
        <v>1210</v>
      </c>
      <c r="F55" s="76"/>
      <c r="G55" s="5"/>
      <c r="H55" s="5"/>
      <c r="I55" s="5"/>
      <c r="J55" s="5"/>
      <c r="K55" s="5"/>
      <c r="L55" s="5"/>
      <c r="M55" s="5"/>
      <c r="N55" s="5"/>
      <c r="O55" s="5"/>
      <c r="P55" s="5"/>
      <c r="Q55" s="5"/>
      <c r="R55" s="5"/>
      <c r="S55" s="5"/>
      <c r="T55" s="5"/>
      <c r="U55" s="5"/>
      <c r="V55" s="5"/>
      <c r="W55" s="5"/>
      <c r="X55" s="5"/>
      <c r="Y55" s="5"/>
      <c r="Z55" s="5"/>
      <c r="AA55" s="5"/>
    </row>
    <row r="56">
      <c r="A56" s="46">
        <v>17.0</v>
      </c>
      <c r="B56" s="46">
        <v>1.593108839E9</v>
      </c>
      <c r="C56" s="46" t="s">
        <v>1243</v>
      </c>
      <c r="D56" s="46" t="s">
        <v>251</v>
      </c>
      <c r="E56" s="46" t="s">
        <v>1211</v>
      </c>
      <c r="F56" s="76"/>
      <c r="G56" s="5"/>
      <c r="H56" s="5"/>
      <c r="I56" s="5"/>
      <c r="J56" s="5"/>
      <c r="K56" s="5"/>
      <c r="L56" s="5"/>
      <c r="M56" s="5"/>
      <c r="N56" s="5"/>
      <c r="O56" s="5"/>
      <c r="P56" s="5"/>
      <c r="Q56" s="5"/>
      <c r="R56" s="5"/>
      <c r="S56" s="5"/>
      <c r="T56" s="5"/>
      <c r="U56" s="5"/>
      <c r="V56" s="5"/>
      <c r="W56" s="5"/>
      <c r="X56" s="5"/>
      <c r="Y56" s="5"/>
      <c r="Z56" s="5"/>
      <c r="AA56" s="5"/>
    </row>
    <row r="57">
      <c r="A57" s="46">
        <v>18.0</v>
      </c>
      <c r="B57" s="46">
        <v>1.593109118E9</v>
      </c>
      <c r="C57" s="46" t="s">
        <v>1243</v>
      </c>
      <c r="D57" s="46" t="s">
        <v>1212</v>
      </c>
      <c r="E57" s="46" t="s">
        <v>1213</v>
      </c>
      <c r="F57" s="76"/>
      <c r="G57" s="5"/>
      <c r="H57" s="5"/>
      <c r="I57" s="5"/>
      <c r="J57" s="5"/>
      <c r="K57" s="5"/>
      <c r="L57" s="5"/>
      <c r="M57" s="5"/>
      <c r="N57" s="5"/>
      <c r="O57" s="5"/>
      <c r="P57" s="5"/>
      <c r="Q57" s="5"/>
      <c r="R57" s="5"/>
      <c r="S57" s="5"/>
      <c r="T57" s="5"/>
      <c r="U57" s="5"/>
      <c r="V57" s="5"/>
      <c r="W57" s="5"/>
      <c r="X57" s="5"/>
      <c r="Y57" s="5"/>
      <c r="Z57" s="5"/>
      <c r="AA57" s="5"/>
    </row>
    <row r="58">
      <c r="A58" s="46">
        <v>19.0</v>
      </c>
      <c r="B58" s="46">
        <v>1.593109308E9</v>
      </c>
      <c r="C58" s="46" t="s">
        <v>1243</v>
      </c>
      <c r="D58" s="46" t="s">
        <v>1214</v>
      </c>
      <c r="E58" s="46" t="s">
        <v>1215</v>
      </c>
      <c r="F58" s="76"/>
      <c r="G58" s="5"/>
      <c r="H58" s="5"/>
      <c r="I58" s="5"/>
      <c r="J58" s="5"/>
      <c r="K58" s="5"/>
      <c r="L58" s="5"/>
      <c r="M58" s="5"/>
      <c r="N58" s="5"/>
      <c r="O58" s="5"/>
      <c r="P58" s="5"/>
      <c r="Q58" s="5"/>
      <c r="R58" s="5"/>
      <c r="S58" s="5"/>
      <c r="T58" s="5"/>
      <c r="U58" s="5"/>
      <c r="V58" s="5"/>
      <c r="W58" s="5"/>
      <c r="X58" s="5"/>
      <c r="Y58" s="5"/>
      <c r="Z58" s="5"/>
      <c r="AA58" s="5"/>
    </row>
    <row r="59">
      <c r="A59" s="46">
        <v>20.0</v>
      </c>
      <c r="B59" s="46">
        <v>1.593109528E9</v>
      </c>
      <c r="C59" s="46" t="s">
        <v>1243</v>
      </c>
      <c r="D59" s="46" t="s">
        <v>1216</v>
      </c>
      <c r="E59" s="46" t="s">
        <v>1217</v>
      </c>
      <c r="F59" s="76"/>
      <c r="G59" s="5"/>
      <c r="H59" s="5"/>
      <c r="I59" s="5"/>
      <c r="J59" s="5"/>
      <c r="K59" s="5"/>
      <c r="L59" s="5"/>
      <c r="M59" s="5"/>
      <c r="N59" s="5"/>
      <c r="O59" s="5"/>
      <c r="P59" s="5"/>
      <c r="Q59" s="5"/>
      <c r="R59" s="5"/>
      <c r="S59" s="5"/>
      <c r="T59" s="5"/>
      <c r="U59" s="5"/>
      <c r="V59" s="5"/>
      <c r="W59" s="5"/>
      <c r="X59" s="5"/>
      <c r="Y59" s="5"/>
      <c r="Z59" s="5"/>
      <c r="AA59" s="5"/>
    </row>
    <row r="60">
      <c r="A60" s="46">
        <v>21.0</v>
      </c>
      <c r="B60" s="46">
        <v>1.593109722E9</v>
      </c>
      <c r="C60" s="46" t="s">
        <v>1243</v>
      </c>
      <c r="D60" s="46" t="s">
        <v>1218</v>
      </c>
      <c r="E60" s="46" t="s">
        <v>1219</v>
      </c>
      <c r="F60" s="76"/>
      <c r="G60" s="5"/>
      <c r="H60" s="5"/>
      <c r="I60" s="5"/>
      <c r="J60" s="5"/>
      <c r="K60" s="5"/>
      <c r="L60" s="5"/>
      <c r="M60" s="5"/>
      <c r="N60" s="5"/>
      <c r="O60" s="5"/>
      <c r="P60" s="5"/>
      <c r="Q60" s="5"/>
      <c r="R60" s="5"/>
      <c r="S60" s="5"/>
      <c r="T60" s="5"/>
      <c r="U60" s="5"/>
      <c r="V60" s="5"/>
      <c r="W60" s="5"/>
      <c r="X60" s="5"/>
      <c r="Y60" s="5"/>
      <c r="Z60" s="5"/>
      <c r="AA60" s="5"/>
    </row>
    <row r="61">
      <c r="A61" s="46">
        <v>22.0</v>
      </c>
      <c r="B61" s="46">
        <v>1.593109896E9</v>
      </c>
      <c r="C61" s="46" t="s">
        <v>1243</v>
      </c>
      <c r="D61" s="46" t="s">
        <v>1220</v>
      </c>
      <c r="E61" s="46" t="s">
        <v>1221</v>
      </c>
      <c r="F61" s="76"/>
      <c r="G61" s="5"/>
      <c r="H61" s="5"/>
      <c r="I61" s="5"/>
      <c r="J61" s="5"/>
      <c r="K61" s="5"/>
      <c r="L61" s="5"/>
      <c r="M61" s="5"/>
      <c r="N61" s="5"/>
      <c r="O61" s="5"/>
      <c r="P61" s="5"/>
      <c r="Q61" s="5"/>
      <c r="R61" s="5"/>
      <c r="S61" s="5"/>
      <c r="T61" s="5"/>
      <c r="U61" s="5"/>
      <c r="V61" s="5"/>
      <c r="W61" s="5"/>
      <c r="X61" s="5"/>
      <c r="Y61" s="5"/>
      <c r="Z61" s="5"/>
      <c r="AA61" s="5"/>
    </row>
    <row r="62">
      <c r="A62" s="46">
        <v>23.0</v>
      </c>
      <c r="B62" s="46">
        <v>1.593109991E9</v>
      </c>
      <c r="C62" s="46" t="s">
        <v>1243</v>
      </c>
      <c r="D62" s="46" t="s">
        <v>1222</v>
      </c>
      <c r="E62" s="46" t="s">
        <v>1223</v>
      </c>
      <c r="F62" s="76"/>
      <c r="G62" s="5"/>
      <c r="H62" s="5"/>
      <c r="I62" s="5"/>
      <c r="J62" s="5"/>
      <c r="K62" s="5"/>
      <c r="L62" s="5"/>
      <c r="M62" s="5"/>
      <c r="N62" s="5"/>
      <c r="O62" s="5"/>
      <c r="P62" s="5"/>
      <c r="Q62" s="5"/>
      <c r="R62" s="5"/>
      <c r="S62" s="5"/>
      <c r="T62" s="5"/>
      <c r="U62" s="5"/>
      <c r="V62" s="5"/>
      <c r="W62" s="5"/>
      <c r="X62" s="5"/>
      <c r="Y62" s="5"/>
      <c r="Z62" s="5"/>
      <c r="AA62" s="5"/>
    </row>
    <row r="63">
      <c r="A63" s="46">
        <v>24.0</v>
      </c>
      <c r="B63" s="46">
        <v>1.593110273E9</v>
      </c>
      <c r="C63" s="46" t="s">
        <v>1243</v>
      </c>
      <c r="D63" s="46" t="s">
        <v>1224</v>
      </c>
      <c r="E63" s="46" t="s">
        <v>1225</v>
      </c>
      <c r="F63" s="76"/>
      <c r="G63" s="5"/>
      <c r="H63" s="5"/>
      <c r="I63" s="5"/>
      <c r="J63" s="5"/>
      <c r="K63" s="5"/>
      <c r="L63" s="5"/>
      <c r="M63" s="5"/>
      <c r="N63" s="5"/>
      <c r="O63" s="5"/>
      <c r="P63" s="5"/>
      <c r="Q63" s="5"/>
      <c r="R63" s="5"/>
      <c r="S63" s="5"/>
      <c r="T63" s="5"/>
      <c r="U63" s="5"/>
      <c r="V63" s="5"/>
      <c r="W63" s="5"/>
      <c r="X63" s="5"/>
      <c r="Y63" s="5"/>
      <c r="Z63" s="5"/>
      <c r="AA63" s="5"/>
    </row>
    <row r="64">
      <c r="A64" s="46">
        <v>25.0</v>
      </c>
      <c r="B64" s="46">
        <v>1.593110426E9</v>
      </c>
      <c r="C64" s="46" t="s">
        <v>1243</v>
      </c>
      <c r="D64" s="46" t="s">
        <v>1226</v>
      </c>
      <c r="E64" s="46" t="s">
        <v>1227</v>
      </c>
      <c r="F64" s="76"/>
      <c r="G64" s="5"/>
      <c r="H64" s="5"/>
      <c r="I64" s="5"/>
      <c r="J64" s="5"/>
      <c r="K64" s="5"/>
      <c r="L64" s="5"/>
      <c r="M64" s="5"/>
      <c r="N64" s="5"/>
      <c r="O64" s="5"/>
      <c r="P64" s="5"/>
      <c r="Q64" s="5"/>
      <c r="R64" s="5"/>
      <c r="S64" s="5"/>
      <c r="T64" s="5"/>
      <c r="U64" s="5"/>
      <c r="V64" s="5"/>
      <c r="W64" s="5"/>
      <c r="X64" s="5"/>
      <c r="Y64" s="5"/>
      <c r="Z64" s="5"/>
      <c r="AA64" s="5"/>
    </row>
    <row r="65">
      <c r="A65" s="46">
        <v>26.0</v>
      </c>
      <c r="B65" s="46">
        <v>1.593110589E9</v>
      </c>
      <c r="C65" s="46" t="s">
        <v>1243</v>
      </c>
      <c r="D65" s="46" t="s">
        <v>1228</v>
      </c>
      <c r="E65" s="46" t="s">
        <v>1229</v>
      </c>
      <c r="F65" s="76"/>
      <c r="G65" s="5"/>
      <c r="H65" s="5"/>
      <c r="I65" s="5"/>
      <c r="J65" s="5"/>
      <c r="K65" s="5"/>
      <c r="L65" s="5"/>
      <c r="M65" s="5"/>
      <c r="N65" s="5"/>
      <c r="O65" s="5"/>
      <c r="P65" s="5"/>
      <c r="Q65" s="5"/>
      <c r="R65" s="5"/>
      <c r="S65" s="5"/>
      <c r="T65" s="5"/>
      <c r="U65" s="5"/>
      <c r="V65" s="5"/>
      <c r="W65" s="5"/>
      <c r="X65" s="5"/>
      <c r="Y65" s="5"/>
      <c r="Z65" s="5"/>
      <c r="AA65" s="5"/>
    </row>
    <row r="66">
      <c r="A66" s="46">
        <v>27.0</v>
      </c>
      <c r="B66" s="46">
        <v>1.5931107E9</v>
      </c>
      <c r="C66" s="46" t="s">
        <v>1243</v>
      </c>
      <c r="D66" s="46" t="s">
        <v>1230</v>
      </c>
      <c r="E66" s="46" t="s">
        <v>1231</v>
      </c>
      <c r="F66" s="76"/>
      <c r="G66" s="5"/>
      <c r="H66" s="5"/>
      <c r="I66" s="5"/>
      <c r="J66" s="5"/>
      <c r="K66" s="5"/>
      <c r="L66" s="5"/>
      <c r="M66" s="5"/>
      <c r="N66" s="5"/>
      <c r="O66" s="5"/>
      <c r="P66" s="5"/>
      <c r="Q66" s="5"/>
      <c r="R66" s="5"/>
      <c r="S66" s="5"/>
      <c r="T66" s="5"/>
      <c r="U66" s="5"/>
      <c r="V66" s="5"/>
      <c r="W66" s="5"/>
      <c r="X66" s="5"/>
      <c r="Y66" s="5"/>
      <c r="Z66" s="5"/>
      <c r="AA66" s="5"/>
    </row>
    <row r="67">
      <c r="A67" s="46">
        <v>28.0</v>
      </c>
      <c r="B67" s="46">
        <v>1.59311079E9</v>
      </c>
      <c r="C67" s="46" t="s">
        <v>1243</v>
      </c>
      <c r="D67" s="46" t="s">
        <v>1232</v>
      </c>
      <c r="E67" s="46" t="s">
        <v>1233</v>
      </c>
      <c r="F67" s="76"/>
      <c r="G67" s="5"/>
      <c r="H67" s="5"/>
      <c r="I67" s="5"/>
      <c r="J67" s="5"/>
      <c r="K67" s="5"/>
      <c r="L67" s="5"/>
      <c r="M67" s="5"/>
      <c r="N67" s="5"/>
      <c r="O67" s="5"/>
      <c r="P67" s="5"/>
      <c r="Q67" s="5"/>
      <c r="R67" s="5"/>
      <c r="S67" s="5"/>
      <c r="T67" s="5"/>
      <c r="U67" s="5"/>
      <c r="V67" s="5"/>
      <c r="W67" s="5"/>
      <c r="X67" s="5"/>
      <c r="Y67" s="5"/>
      <c r="Z67" s="5"/>
      <c r="AA67" s="5"/>
    </row>
    <row r="68">
      <c r="A68" s="46">
        <v>29.0</v>
      </c>
      <c r="B68" s="46">
        <v>1.593110966E9</v>
      </c>
      <c r="C68" s="46" t="s">
        <v>1243</v>
      </c>
      <c r="D68" s="46" t="s">
        <v>1234</v>
      </c>
      <c r="E68" s="46" t="s">
        <v>1235</v>
      </c>
      <c r="F68" s="76"/>
      <c r="G68" s="5"/>
      <c r="H68" s="5"/>
      <c r="I68" s="5"/>
      <c r="J68" s="5"/>
      <c r="K68" s="5"/>
      <c r="L68" s="5"/>
      <c r="M68" s="5"/>
      <c r="N68" s="5"/>
      <c r="O68" s="5"/>
      <c r="P68" s="5"/>
      <c r="Q68" s="5"/>
      <c r="R68" s="5"/>
      <c r="S68" s="5"/>
      <c r="T68" s="5"/>
      <c r="U68" s="5"/>
      <c r="V68" s="5"/>
      <c r="W68" s="5"/>
      <c r="X68" s="5"/>
      <c r="Y68" s="5"/>
      <c r="Z68" s="5"/>
      <c r="AA68" s="5"/>
    </row>
    <row r="69">
      <c r="A69" s="46">
        <v>30.0</v>
      </c>
      <c r="B69" s="46">
        <v>1.593111448E9</v>
      </c>
      <c r="C69" s="46" t="s">
        <v>1243</v>
      </c>
      <c r="D69" s="46" t="s">
        <v>1236</v>
      </c>
      <c r="E69" s="46" t="s">
        <v>1237</v>
      </c>
      <c r="F69" s="76"/>
      <c r="G69" s="5"/>
      <c r="H69" s="5"/>
      <c r="I69" s="5"/>
      <c r="J69" s="5"/>
      <c r="K69" s="5"/>
      <c r="L69" s="5"/>
      <c r="M69" s="5"/>
      <c r="N69" s="5"/>
      <c r="O69" s="5"/>
      <c r="P69" s="5"/>
      <c r="Q69" s="5"/>
      <c r="R69" s="5"/>
      <c r="S69" s="5"/>
      <c r="T69" s="5"/>
      <c r="U69" s="5"/>
      <c r="V69" s="5"/>
      <c r="W69" s="5"/>
      <c r="X69" s="5"/>
      <c r="Y69" s="5"/>
      <c r="Z69" s="5"/>
      <c r="AA69" s="5"/>
    </row>
    <row r="70">
      <c r="A70" s="46">
        <v>31.0</v>
      </c>
      <c r="B70" s="46">
        <v>1.593111561E9</v>
      </c>
      <c r="C70" s="46" t="s">
        <v>1243</v>
      </c>
      <c r="D70" s="46" t="s">
        <v>498</v>
      </c>
      <c r="E70" s="46" t="s">
        <v>1245</v>
      </c>
      <c r="F70" s="76"/>
      <c r="G70" s="5"/>
      <c r="H70" s="5"/>
      <c r="I70" s="5"/>
      <c r="J70" s="5"/>
      <c r="K70" s="5"/>
      <c r="L70" s="5"/>
      <c r="M70" s="5"/>
      <c r="N70" s="5"/>
      <c r="O70" s="5"/>
      <c r="P70" s="5"/>
      <c r="Q70" s="5"/>
      <c r="R70" s="5"/>
      <c r="S70" s="5"/>
      <c r="T70" s="5"/>
      <c r="U70" s="5"/>
      <c r="V70" s="5"/>
      <c r="W70" s="5"/>
      <c r="X70" s="5"/>
      <c r="Y70" s="5"/>
      <c r="Z70" s="5"/>
      <c r="AA70" s="5"/>
    </row>
    <row r="71">
      <c r="A71" s="46"/>
      <c r="B71" s="46"/>
      <c r="C71" s="46"/>
      <c r="D71" s="46"/>
      <c r="E71" s="46"/>
      <c r="F71" s="76"/>
      <c r="G71" s="5"/>
      <c r="H71" s="5"/>
      <c r="I71" s="5"/>
      <c r="J71" s="5"/>
      <c r="K71" s="5"/>
      <c r="L71" s="5"/>
      <c r="M71" s="5"/>
      <c r="N71" s="5"/>
      <c r="O71" s="5"/>
      <c r="P71" s="5"/>
      <c r="Q71" s="5"/>
      <c r="R71" s="5"/>
      <c r="S71" s="5"/>
      <c r="T71" s="5"/>
      <c r="U71" s="5"/>
      <c r="V71" s="5"/>
      <c r="W71" s="5"/>
      <c r="X71" s="5"/>
      <c r="Y71" s="5"/>
      <c r="Z71" s="5"/>
      <c r="AA71" s="5"/>
    </row>
    <row r="72">
      <c r="A72" s="46"/>
      <c r="B72" s="46"/>
      <c r="C72" s="46"/>
      <c r="D72" s="46"/>
      <c r="E72" s="46"/>
      <c r="F72" s="76"/>
      <c r="G72" s="5"/>
      <c r="H72" s="5"/>
      <c r="I72" s="5"/>
      <c r="J72" s="5"/>
      <c r="K72" s="5"/>
      <c r="L72" s="5"/>
      <c r="M72" s="5"/>
      <c r="N72" s="5"/>
      <c r="O72" s="5"/>
      <c r="P72" s="5"/>
      <c r="Q72" s="5"/>
      <c r="R72" s="5"/>
      <c r="S72" s="5"/>
      <c r="T72" s="5"/>
      <c r="U72" s="5"/>
      <c r="V72" s="5"/>
      <c r="W72" s="5"/>
      <c r="X72" s="5"/>
      <c r="Y72" s="5"/>
      <c r="Z72" s="5"/>
      <c r="AA72" s="5"/>
    </row>
    <row r="73">
      <c r="A73" s="46"/>
      <c r="B73" s="46"/>
      <c r="C73" s="46"/>
      <c r="D73" s="46"/>
      <c r="E73" s="46"/>
      <c r="F73" s="76"/>
      <c r="G73" s="5"/>
      <c r="H73" s="5"/>
      <c r="I73" s="5"/>
      <c r="J73" s="5"/>
      <c r="K73" s="5"/>
      <c r="L73" s="5"/>
      <c r="M73" s="5"/>
      <c r="N73" s="5"/>
      <c r="O73" s="5"/>
      <c r="P73" s="5"/>
      <c r="Q73" s="5"/>
      <c r="R73" s="5"/>
      <c r="S73" s="5"/>
      <c r="T73" s="5"/>
      <c r="U73" s="5"/>
      <c r="V73" s="5"/>
      <c r="W73" s="5"/>
      <c r="X73" s="5"/>
      <c r="Y73" s="5"/>
      <c r="Z73" s="5"/>
      <c r="AA73" s="5"/>
    </row>
    <row r="74">
      <c r="A74" s="46"/>
      <c r="B74" s="46"/>
      <c r="C74" s="46"/>
      <c r="D74" s="46"/>
      <c r="E74" s="46"/>
      <c r="F74" s="76"/>
      <c r="G74" s="5"/>
      <c r="H74" s="5"/>
      <c r="I74" s="5"/>
      <c r="J74" s="5"/>
      <c r="K74" s="5"/>
      <c r="L74" s="5"/>
      <c r="M74" s="5"/>
      <c r="N74" s="5"/>
      <c r="O74" s="5"/>
      <c r="P74" s="5"/>
      <c r="Q74" s="5"/>
      <c r="R74" s="5"/>
      <c r="S74" s="5"/>
      <c r="T74" s="5"/>
      <c r="U74" s="5"/>
      <c r="V74" s="5"/>
      <c r="W74" s="5"/>
      <c r="X74" s="5"/>
      <c r="Y74" s="5"/>
      <c r="Z74" s="5"/>
      <c r="AA74" s="5"/>
    </row>
    <row r="75">
      <c r="A75" s="46"/>
      <c r="B75" s="46"/>
      <c r="C75" s="46"/>
      <c r="D75" s="46"/>
      <c r="E75" s="46"/>
      <c r="F75" s="76"/>
      <c r="G75" s="5"/>
      <c r="H75" s="5"/>
      <c r="I75" s="5"/>
      <c r="J75" s="5"/>
      <c r="K75" s="5"/>
      <c r="L75" s="5"/>
      <c r="M75" s="5"/>
      <c r="N75" s="5"/>
      <c r="O75" s="5"/>
      <c r="P75" s="5"/>
      <c r="Q75" s="5"/>
      <c r="R75" s="5"/>
      <c r="S75" s="5"/>
      <c r="T75" s="5"/>
      <c r="U75" s="5"/>
      <c r="V75" s="5"/>
      <c r="W75" s="5"/>
      <c r="X75" s="5"/>
      <c r="Y75" s="5"/>
      <c r="Z75" s="5"/>
      <c r="AA75" s="5"/>
    </row>
    <row r="76">
      <c r="A76" s="46"/>
      <c r="B76" s="46"/>
      <c r="C76" s="46"/>
      <c r="D76" s="46"/>
      <c r="E76" s="46"/>
      <c r="F76" s="76"/>
      <c r="G76" s="5"/>
      <c r="H76" s="5"/>
      <c r="I76" s="5"/>
      <c r="J76" s="5"/>
      <c r="K76" s="5"/>
      <c r="L76" s="5"/>
      <c r="M76" s="5"/>
      <c r="N76" s="5"/>
      <c r="O76" s="5"/>
      <c r="P76" s="5"/>
      <c r="Q76" s="5"/>
      <c r="R76" s="5"/>
      <c r="S76" s="5"/>
      <c r="T76" s="5"/>
      <c r="U76" s="5"/>
      <c r="V76" s="5"/>
      <c r="W76" s="5"/>
      <c r="X76" s="5"/>
      <c r="Y76" s="5"/>
      <c r="Z76" s="5"/>
      <c r="AA76" s="5"/>
    </row>
    <row r="77">
      <c r="A77" s="46"/>
      <c r="B77" s="46"/>
      <c r="C77" s="46"/>
      <c r="D77" s="46"/>
      <c r="E77" s="46"/>
      <c r="F77" s="76"/>
      <c r="G77" s="5"/>
      <c r="H77" s="5"/>
      <c r="I77" s="5"/>
      <c r="J77" s="5"/>
      <c r="K77" s="5"/>
      <c r="L77" s="5"/>
      <c r="M77" s="5"/>
      <c r="N77" s="5"/>
      <c r="O77" s="5"/>
      <c r="P77" s="5"/>
      <c r="Q77" s="5"/>
      <c r="R77" s="5"/>
      <c r="S77" s="5"/>
      <c r="T77" s="5"/>
      <c r="U77" s="5"/>
      <c r="V77" s="5"/>
      <c r="W77" s="5"/>
      <c r="X77" s="5"/>
      <c r="Y77" s="5"/>
      <c r="Z77" s="5"/>
      <c r="AA77" s="5"/>
    </row>
    <row r="78">
      <c r="A78" s="46"/>
      <c r="B78" s="46"/>
      <c r="C78" s="46"/>
      <c r="D78" s="46"/>
      <c r="E78" s="46"/>
      <c r="F78" s="76"/>
      <c r="G78" s="5"/>
      <c r="H78" s="5"/>
      <c r="I78" s="5"/>
      <c r="J78" s="5"/>
      <c r="K78" s="5"/>
      <c r="L78" s="5"/>
      <c r="M78" s="5"/>
      <c r="N78" s="5"/>
      <c r="O78" s="5"/>
      <c r="P78" s="5"/>
      <c r="Q78" s="5"/>
      <c r="R78" s="5"/>
      <c r="S78" s="5"/>
      <c r="T78" s="5"/>
      <c r="U78" s="5"/>
      <c r="V78" s="5"/>
      <c r="W78" s="5"/>
      <c r="X78" s="5"/>
      <c r="Y78" s="5"/>
      <c r="Z78" s="5"/>
      <c r="AA78" s="5"/>
    </row>
    <row r="79">
      <c r="A79" s="46"/>
      <c r="B79" s="46"/>
      <c r="C79" s="46"/>
      <c r="D79" s="46"/>
      <c r="E79" s="46"/>
      <c r="F79" s="76"/>
      <c r="G79" s="5"/>
      <c r="H79" s="5"/>
      <c r="I79" s="5"/>
      <c r="J79" s="5"/>
      <c r="K79" s="5"/>
      <c r="L79" s="5"/>
      <c r="M79" s="5"/>
      <c r="N79" s="5"/>
      <c r="O79" s="5"/>
      <c r="P79" s="5"/>
      <c r="Q79" s="5"/>
      <c r="R79" s="5"/>
      <c r="S79" s="5"/>
      <c r="T79" s="5"/>
      <c r="U79" s="5"/>
      <c r="V79" s="5"/>
      <c r="W79" s="5"/>
      <c r="X79" s="5"/>
      <c r="Y79" s="5"/>
      <c r="Z79" s="5"/>
      <c r="AA79" s="5"/>
    </row>
    <row r="80">
      <c r="A80" s="46"/>
      <c r="B80" s="46"/>
      <c r="C80" s="46"/>
      <c r="D80" s="46"/>
      <c r="E80" s="46"/>
      <c r="F80" s="76"/>
      <c r="G80" s="5"/>
      <c r="H80" s="5"/>
      <c r="I80" s="5"/>
      <c r="J80" s="5"/>
      <c r="K80" s="5"/>
      <c r="L80" s="5"/>
      <c r="M80" s="5"/>
      <c r="N80" s="5"/>
      <c r="O80" s="5"/>
      <c r="P80" s="5"/>
      <c r="Q80" s="5"/>
      <c r="R80" s="5"/>
      <c r="S80" s="5"/>
      <c r="T80" s="5"/>
      <c r="U80" s="5"/>
      <c r="V80" s="5"/>
      <c r="W80" s="5"/>
      <c r="X80" s="5"/>
      <c r="Y80" s="5"/>
      <c r="Z80" s="5"/>
      <c r="AA80" s="5"/>
    </row>
    <row r="81">
      <c r="A81" s="46"/>
      <c r="B81" s="46"/>
      <c r="C81" s="46"/>
      <c r="D81" s="46"/>
      <c r="E81" s="46"/>
      <c r="F81" s="76"/>
      <c r="G81" s="5"/>
      <c r="H81" s="5"/>
      <c r="I81" s="5"/>
      <c r="J81" s="5"/>
      <c r="K81" s="5"/>
      <c r="L81" s="5"/>
      <c r="M81" s="5"/>
      <c r="N81" s="5"/>
      <c r="O81" s="5"/>
      <c r="P81" s="5"/>
      <c r="Q81" s="5"/>
      <c r="R81" s="5"/>
      <c r="S81" s="5"/>
      <c r="T81" s="5"/>
      <c r="U81" s="5"/>
      <c r="V81" s="5"/>
      <c r="W81" s="5"/>
      <c r="X81" s="5"/>
      <c r="Y81" s="5"/>
      <c r="Z81" s="5"/>
      <c r="AA81" s="5"/>
    </row>
    <row r="82">
      <c r="A82" s="46"/>
      <c r="B82" s="46"/>
      <c r="C82" s="46"/>
      <c r="D82" s="46"/>
      <c r="E82" s="46"/>
      <c r="F82" s="76"/>
      <c r="G82" s="5"/>
      <c r="H82" s="5"/>
      <c r="I82" s="5"/>
      <c r="J82" s="5"/>
      <c r="K82" s="5"/>
      <c r="L82" s="5"/>
      <c r="M82" s="5"/>
      <c r="N82" s="5"/>
      <c r="O82" s="5"/>
      <c r="P82" s="5"/>
      <c r="Q82" s="5"/>
      <c r="R82" s="5"/>
      <c r="S82" s="5"/>
      <c r="T82" s="5"/>
      <c r="U82" s="5"/>
      <c r="V82" s="5"/>
      <c r="W82" s="5"/>
      <c r="X82" s="5"/>
      <c r="Y82" s="5"/>
      <c r="Z82" s="5"/>
      <c r="AA82" s="5"/>
    </row>
    <row r="83">
      <c r="A83" s="46"/>
      <c r="B83" s="46"/>
      <c r="C83" s="46"/>
      <c r="D83" s="46"/>
      <c r="E83" s="46"/>
      <c r="F83" s="76"/>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2</v>
      </c>
      <c r="D2" s="17">
        <f t="shared" ref="D2:D6" si="2">C2/COUNTA(I$2:I1000)</f>
        <v>0.04081632653</v>
      </c>
      <c r="E2" s="67">
        <v>1.59577563E9</v>
      </c>
      <c r="F2" s="68">
        <f>IFERROR(__xludf.DUMMYFUNCTION("INDEX(SPLIT(E2, char(10)), 0, 1)/86400+date(1970,1,1)"),44038.62534722222)</f>
        <v>44038.62535</v>
      </c>
      <c r="G2" s="7" t="s">
        <v>1246</v>
      </c>
      <c r="H2" s="46" t="s">
        <v>1247</v>
      </c>
      <c r="I2" s="7" t="s">
        <v>11</v>
      </c>
    </row>
    <row r="3">
      <c r="A3" s="5" t="s">
        <v>11</v>
      </c>
      <c r="B3" s="5" t="s">
        <v>111</v>
      </c>
      <c r="C3" s="25">
        <f t="shared" si="1"/>
        <v>12</v>
      </c>
      <c r="D3" s="17">
        <f t="shared" si="2"/>
        <v>0.2448979592</v>
      </c>
      <c r="E3" s="67">
        <v>1.595775758E9</v>
      </c>
      <c r="F3" s="68">
        <f>IFERROR(__xludf.DUMMYFUNCTION("INDEX(SPLIT(E3, char(10)), 0, 1)/86400+date(1970,1,1)"),44038.6268287037)</f>
        <v>44038.62683</v>
      </c>
      <c r="G3" s="7" t="s">
        <v>1248</v>
      </c>
      <c r="H3" s="46" t="s">
        <v>1249</v>
      </c>
      <c r="I3" s="7" t="s">
        <v>14</v>
      </c>
    </row>
    <row r="4">
      <c r="A4" s="5" t="s">
        <v>12</v>
      </c>
      <c r="B4" s="5" t="s">
        <v>114</v>
      </c>
      <c r="C4" s="25">
        <f t="shared" si="1"/>
        <v>6</v>
      </c>
      <c r="D4" s="17">
        <f t="shared" si="2"/>
        <v>0.1224489796</v>
      </c>
      <c r="E4" s="67">
        <v>1.595775961E9</v>
      </c>
      <c r="F4" s="68">
        <f>IFERROR(__xludf.DUMMYFUNCTION("INDEX(SPLIT(E4, char(10)), 0, 1)/86400+date(1970,1,1)"),44038.62917824074)</f>
        <v>44038.62918</v>
      </c>
      <c r="G4" s="7" t="s">
        <v>1250</v>
      </c>
      <c r="H4" s="46" t="s">
        <v>1251</v>
      </c>
      <c r="I4" s="7" t="s">
        <v>12</v>
      </c>
    </row>
    <row r="5">
      <c r="A5" s="5" t="s">
        <v>13</v>
      </c>
      <c r="B5" s="5" t="s">
        <v>117</v>
      </c>
      <c r="C5" s="25">
        <f t="shared" si="1"/>
        <v>10</v>
      </c>
      <c r="D5" s="17">
        <f t="shared" si="2"/>
        <v>0.2040816327</v>
      </c>
      <c r="E5" s="67">
        <v>1.595776074E9</v>
      </c>
      <c r="F5" s="68">
        <f>IFERROR(__xludf.DUMMYFUNCTION("INDEX(SPLIT(E5, char(10)), 0, 1)/86400+date(1970,1,1)"),44038.63048611111)</f>
        <v>44038.63049</v>
      </c>
      <c r="G5" s="7" t="s">
        <v>1252</v>
      </c>
      <c r="H5" s="46" t="s">
        <v>1253</v>
      </c>
      <c r="I5" s="7" t="s">
        <v>11</v>
      </c>
    </row>
    <row r="6">
      <c r="A6" s="5" t="s">
        <v>14</v>
      </c>
      <c r="B6" s="5" t="s">
        <v>120</v>
      </c>
      <c r="C6" s="25">
        <f t="shared" si="1"/>
        <v>19</v>
      </c>
      <c r="D6" s="17">
        <f t="shared" si="2"/>
        <v>0.387755102</v>
      </c>
      <c r="E6" s="67">
        <v>1.595776167E9</v>
      </c>
      <c r="F6" s="68">
        <f>IFERROR(__xludf.DUMMYFUNCTION("INDEX(SPLIT(E6, char(10)), 0, 1)/86400+date(1970,1,1)"),44038.6315625)</f>
        <v>44038.63156</v>
      </c>
      <c r="G6" s="7" t="s">
        <v>1254</v>
      </c>
      <c r="H6" s="46" t="s">
        <v>1255</v>
      </c>
      <c r="I6" s="7" t="s">
        <v>13</v>
      </c>
    </row>
    <row r="7">
      <c r="A7" s="5"/>
      <c r="B7" s="5" t="s">
        <v>10</v>
      </c>
      <c r="C7" s="23">
        <f t="shared" ref="C7:D7" si="3">SUM(C2:C6)</f>
        <v>49</v>
      </c>
      <c r="D7" s="70">
        <f t="shared" si="3"/>
        <v>1</v>
      </c>
      <c r="E7" s="67">
        <v>1.595776264E9</v>
      </c>
      <c r="F7" s="68">
        <f>IFERROR(__xludf.DUMMYFUNCTION("INDEX(SPLIT(E7, char(10)), 0, 1)/86400+date(1970,1,1)"),44038.632685185185)</f>
        <v>44038.63269</v>
      </c>
      <c r="G7" s="7" t="s">
        <v>1256</v>
      </c>
      <c r="H7" s="46" t="s">
        <v>1257</v>
      </c>
      <c r="I7" s="7" t="s">
        <v>14</v>
      </c>
    </row>
    <row r="8">
      <c r="A8" s="71"/>
      <c r="B8" s="5" t="s">
        <v>15</v>
      </c>
      <c r="C8" s="25">
        <f t="shared" ref="C8:D8" si="4">SUM(C5:C6)</f>
        <v>29</v>
      </c>
      <c r="D8" s="17">
        <f t="shared" si="4"/>
        <v>0.5918367347</v>
      </c>
      <c r="E8" s="67">
        <v>1.595776479E9</v>
      </c>
      <c r="F8" s="68">
        <f>IFERROR(__xludf.DUMMYFUNCTION("INDEX(SPLIT(E8, char(10)), 0, 1)/86400+date(1970,1,1)"),44038.63517361111)</f>
        <v>44038.63517</v>
      </c>
      <c r="G8" s="7" t="s">
        <v>1258</v>
      </c>
      <c r="H8" s="46" t="s">
        <v>1259</v>
      </c>
      <c r="I8" s="7" t="s">
        <v>14</v>
      </c>
    </row>
    <row r="9">
      <c r="A9" s="71"/>
      <c r="B9" s="5" t="s">
        <v>127</v>
      </c>
      <c r="C9" s="25">
        <f>SUM(C6:C7)</f>
        <v>68</v>
      </c>
      <c r="D9" s="17">
        <f>SUM(D5:D6) + D2</f>
        <v>0.6326530612</v>
      </c>
      <c r="E9" s="67">
        <v>1.595776584E9</v>
      </c>
      <c r="F9" s="68">
        <f>IFERROR(__xludf.DUMMYFUNCTION("INDEX(SPLIT(E9, char(10)), 0, 1)/86400+date(1970,1,1)"),44038.63638888889)</f>
        <v>44038.63639</v>
      </c>
      <c r="G9" s="7" t="s">
        <v>1260</v>
      </c>
      <c r="H9" s="46" t="s">
        <v>1261</v>
      </c>
      <c r="I9" s="7" t="s">
        <v>11</v>
      </c>
    </row>
    <row r="10">
      <c r="A10" s="71"/>
      <c r="B10" s="71"/>
      <c r="C10" s="71"/>
      <c r="D10" s="71"/>
      <c r="E10" s="67">
        <v>1.595776823E9</v>
      </c>
      <c r="F10" s="68">
        <f>IFERROR(__xludf.DUMMYFUNCTION("INDEX(SPLIT(E10, char(10)), 0, 1)/86400+date(1970,1,1)"),44038.63915509259)</f>
        <v>44038.63916</v>
      </c>
      <c r="G10" s="7" t="s">
        <v>1262</v>
      </c>
      <c r="H10" s="46" t="s">
        <v>1263</v>
      </c>
      <c r="I10" s="7" t="s">
        <v>11</v>
      </c>
    </row>
    <row r="11">
      <c r="A11" s="71"/>
      <c r="B11" s="71"/>
      <c r="C11" s="71"/>
      <c r="D11" s="71"/>
      <c r="E11" s="67">
        <v>1.595776915E9</v>
      </c>
      <c r="F11" s="68">
        <f>IFERROR(__xludf.DUMMYFUNCTION("INDEX(SPLIT(E11, char(10)), 0, 1)/86400+date(1970,1,1)"),44038.64021990741)</f>
        <v>44038.64022</v>
      </c>
      <c r="G11" s="7" t="s">
        <v>1264</v>
      </c>
      <c r="H11" s="46" t="s">
        <v>1265</v>
      </c>
      <c r="I11" s="7" t="s">
        <v>14</v>
      </c>
    </row>
    <row r="12">
      <c r="A12" s="13" t="s">
        <v>134</v>
      </c>
      <c r="B12" s="85" t="s">
        <v>1266</v>
      </c>
      <c r="C12" s="71"/>
      <c r="D12" s="71"/>
      <c r="E12" s="67">
        <v>1.595777101E9</v>
      </c>
      <c r="F12" s="68">
        <f>IFERROR(__xludf.DUMMYFUNCTION("INDEX(SPLIT(E12, char(10)), 0, 1)/86400+date(1970,1,1)"),44038.642372685186)</f>
        <v>44038.64237</v>
      </c>
      <c r="G12" s="7" t="s">
        <v>1267</v>
      </c>
      <c r="H12" s="46" t="s">
        <v>1268</v>
      </c>
      <c r="I12" s="7" t="s">
        <v>14</v>
      </c>
    </row>
    <row r="13">
      <c r="A13" s="13" t="s">
        <v>138</v>
      </c>
      <c r="B13" s="71"/>
      <c r="C13" s="13" t="s">
        <v>101</v>
      </c>
      <c r="D13" s="13" t="s">
        <v>102</v>
      </c>
      <c r="E13" s="67">
        <v>1.595777193E9</v>
      </c>
      <c r="F13" s="68">
        <f>IFERROR(__xludf.DUMMYFUNCTION("INDEX(SPLIT(E13, char(10)), 0, 1)/86400+date(1970,1,1)"),44038.643437499995)</f>
        <v>44038.64344</v>
      </c>
      <c r="G13" s="7" t="s">
        <v>1269</v>
      </c>
      <c r="H13" s="46" t="s">
        <v>1270</v>
      </c>
      <c r="I13" s="7" t="s">
        <v>14</v>
      </c>
    </row>
    <row r="14">
      <c r="A14" s="5" t="s">
        <v>141</v>
      </c>
      <c r="B14" s="5" t="s">
        <v>142</v>
      </c>
      <c r="C14" s="23">
        <f t="shared" ref="C14:C17" si="5">COUNTIF($A$19:$A1000, A14)</f>
        <v>3</v>
      </c>
      <c r="D14" s="17">
        <f>IFERROR(__xludf.DUMMYFUNCTION("IF(C14, COUNTIF(FILTER($D$19:$D1000, $A$19:$A1000=A14), TRUE)/C14, 0)"),0.3333333333333333)</f>
        <v>0.3333333333</v>
      </c>
      <c r="E14" s="67">
        <v>1.595777284E9</v>
      </c>
      <c r="F14" s="68">
        <f>IFERROR(__xludf.DUMMYFUNCTION("INDEX(SPLIT(E14, char(10)), 0, 1)/86400+date(1970,1,1)"),44038.64449074074)</f>
        <v>44038.64449</v>
      </c>
      <c r="G14" s="7" t="s">
        <v>1271</v>
      </c>
      <c r="H14" s="46" t="s">
        <v>1272</v>
      </c>
      <c r="I14" s="7" t="s">
        <v>11</v>
      </c>
    </row>
    <row r="15">
      <c r="A15" s="5" t="s">
        <v>3</v>
      </c>
      <c r="B15" s="5" t="s">
        <v>145</v>
      </c>
      <c r="C15" s="23">
        <f t="shared" si="5"/>
        <v>7</v>
      </c>
      <c r="D15" s="17">
        <f>IFERROR(__xludf.DUMMYFUNCTION("IF(C15, COUNTIF(FILTER($D$19:$D1000, $A$19:$A1000=A15), TRUE)/C15, 0)"),0.42857142857142855)</f>
        <v>0.4285714286</v>
      </c>
      <c r="E15" s="67">
        <v>1.595777664E9</v>
      </c>
      <c r="F15" s="68">
        <f>IFERROR(__xludf.DUMMYFUNCTION("INDEX(SPLIT(E15, char(10)), 0, 1)/86400+date(1970,1,1)"),44038.648888888885)</f>
        <v>44038.64889</v>
      </c>
      <c r="G15" s="7" t="s">
        <v>1273</v>
      </c>
      <c r="H15" s="46" t="s">
        <v>1274</v>
      </c>
      <c r="I15" s="7" t="s">
        <v>14</v>
      </c>
    </row>
    <row r="16">
      <c r="A16" s="5" t="s">
        <v>4</v>
      </c>
      <c r="B16" s="5" t="s">
        <v>148</v>
      </c>
      <c r="C16" s="23">
        <f t="shared" si="5"/>
        <v>4</v>
      </c>
      <c r="D16" s="17">
        <f>IFERROR(__xludf.DUMMYFUNCTION("IF(C16, COUNTIF(FILTER($D$19:$D1000, $A$19:$A1000=A16), TRUE)/C16, 0)"),0.5)</f>
        <v>0.5</v>
      </c>
      <c r="E16" s="67">
        <v>1.595777768E9</v>
      </c>
      <c r="F16" s="68">
        <f>IFERROR(__xludf.DUMMYFUNCTION("INDEX(SPLIT(E16, char(10)), 0, 1)/86400+date(1970,1,1)"),44038.650092592594)</f>
        <v>44038.65009</v>
      </c>
      <c r="G16" s="7" t="s">
        <v>1275</v>
      </c>
      <c r="H16" s="46" t="s">
        <v>1276</v>
      </c>
      <c r="I16" s="7" t="s">
        <v>14</v>
      </c>
    </row>
    <row r="17">
      <c r="A17" s="5" t="s">
        <v>5</v>
      </c>
      <c r="B17" s="5" t="s">
        <v>151</v>
      </c>
      <c r="C17" s="23">
        <f t="shared" si="5"/>
        <v>9</v>
      </c>
      <c r="D17" s="17">
        <f>IFERROR(__xludf.DUMMYFUNCTION("IF(C17, COUNTIF(FILTER($D$19:$D1000, $A$19:$A1000=A17), TRUE)/C17, 0)"),0.4444444444444444)</f>
        <v>0.4444444444</v>
      </c>
      <c r="E17" s="67">
        <v>1.595778088E9</v>
      </c>
      <c r="F17" s="68">
        <f>IFERROR(__xludf.DUMMYFUNCTION("INDEX(SPLIT(E17, char(10)), 0, 1)/86400+date(1970,1,1)"),44038.6537962963)</f>
        <v>44038.6538</v>
      </c>
      <c r="G17" s="7" t="s">
        <v>1277</v>
      </c>
      <c r="H17" s="46" t="s">
        <v>1278</v>
      </c>
      <c r="I17" s="7" t="s">
        <v>14</v>
      </c>
    </row>
    <row r="18">
      <c r="A18" s="71"/>
      <c r="B18" s="13" t="s">
        <v>6</v>
      </c>
      <c r="C18" s="23">
        <f>SUM(C14:C17)</f>
        <v>23</v>
      </c>
      <c r="D18" s="17">
        <f>COUNTIF($D$19:$D1000, TRUE)/SUM($C$14:$C$17)</f>
        <v>0.4347826087</v>
      </c>
      <c r="E18" s="67">
        <v>1.595778206E9</v>
      </c>
      <c r="F18" s="68">
        <f>IFERROR(__xludf.DUMMYFUNCTION("INDEX(SPLIT(E18, char(10)), 0, 1)/86400+date(1970,1,1)"),44038.65516203704)</f>
        <v>44038.65516</v>
      </c>
      <c r="G18" s="7" t="s">
        <v>1279</v>
      </c>
      <c r="H18" s="46" t="s">
        <v>1280</v>
      </c>
      <c r="I18" s="7" t="s">
        <v>12</v>
      </c>
    </row>
    <row r="19">
      <c r="A19" s="5" t="s">
        <v>4</v>
      </c>
      <c r="B19" s="5" t="s">
        <v>161</v>
      </c>
      <c r="C19" s="25">
        <v>1.0</v>
      </c>
      <c r="D19" s="96" t="b">
        <v>0</v>
      </c>
      <c r="E19" s="67">
        <v>1.595778299E9</v>
      </c>
      <c r="F19" s="68">
        <f>IFERROR(__xludf.DUMMYFUNCTION("INDEX(SPLIT(E19, char(10)), 0, 1)/86400+date(1970,1,1)"),44038.65623842593)</f>
        <v>44038.65624</v>
      </c>
      <c r="G19" s="7" t="s">
        <v>1281</v>
      </c>
      <c r="H19" s="46" t="s">
        <v>1282</v>
      </c>
      <c r="I19" s="7" t="s">
        <v>14</v>
      </c>
    </row>
    <row r="20">
      <c r="A20" s="5" t="s">
        <v>3</v>
      </c>
      <c r="B20" s="5" t="s">
        <v>1283</v>
      </c>
      <c r="C20" s="25">
        <v>9.0</v>
      </c>
      <c r="D20" s="96" t="b">
        <v>1</v>
      </c>
      <c r="E20" s="67">
        <v>1.595778426E9</v>
      </c>
      <c r="F20" s="68">
        <f>IFERROR(__xludf.DUMMYFUNCTION("INDEX(SPLIT(E20, char(10)), 0, 1)/86400+date(1970,1,1)"),44038.65770833333)</f>
        <v>44038.65771</v>
      </c>
      <c r="G20" s="7" t="s">
        <v>1284</v>
      </c>
      <c r="H20" s="46" t="s">
        <v>1285</v>
      </c>
      <c r="I20" s="7" t="s">
        <v>11</v>
      </c>
    </row>
    <row r="21">
      <c r="A21" s="5" t="s">
        <v>141</v>
      </c>
      <c r="B21" s="5" t="s">
        <v>1286</v>
      </c>
      <c r="C21" s="25">
        <v>33.0</v>
      </c>
      <c r="D21" s="96" t="b">
        <v>0</v>
      </c>
      <c r="E21" s="67">
        <v>1.595778521E9</v>
      </c>
      <c r="F21" s="68">
        <f>IFERROR(__xludf.DUMMYFUNCTION("INDEX(SPLIT(E21, char(10)), 0, 1)/86400+date(1970,1,1)"),44038.65880787037)</f>
        <v>44038.65881</v>
      </c>
      <c r="G21" s="7" t="s">
        <v>1287</v>
      </c>
      <c r="H21" s="46" t="s">
        <v>1288</v>
      </c>
      <c r="I21" s="7" t="s">
        <v>11</v>
      </c>
    </row>
    <row r="22">
      <c r="A22" s="5" t="s">
        <v>4</v>
      </c>
      <c r="B22" s="5" t="s">
        <v>167</v>
      </c>
      <c r="C22" s="25">
        <v>45.0</v>
      </c>
      <c r="D22" s="96" t="b">
        <v>0</v>
      </c>
      <c r="E22" s="67">
        <v>1.595778653E9</v>
      </c>
      <c r="F22" s="68">
        <f>IFERROR(__xludf.DUMMYFUNCTION("INDEX(SPLIT(E22, char(10)), 0, 1)/86400+date(1970,1,1)"),44038.66033564815)</f>
        <v>44038.66034</v>
      </c>
      <c r="G22" s="7" t="s">
        <v>1289</v>
      </c>
      <c r="H22" s="46" t="s">
        <v>1290</v>
      </c>
      <c r="I22" s="7" t="s">
        <v>14</v>
      </c>
    </row>
    <row r="23">
      <c r="A23" s="5" t="s">
        <v>4</v>
      </c>
      <c r="B23" s="5" t="s">
        <v>170</v>
      </c>
      <c r="C23" s="25">
        <v>45.0</v>
      </c>
      <c r="D23" s="96" t="b">
        <v>1</v>
      </c>
      <c r="E23" s="67">
        <v>1.595778789E9</v>
      </c>
      <c r="F23" s="68">
        <f>IFERROR(__xludf.DUMMYFUNCTION("INDEX(SPLIT(E23, char(10)), 0, 1)/86400+date(1970,1,1)"),44038.66190972222)</f>
        <v>44038.66191</v>
      </c>
      <c r="G23" s="7" t="s">
        <v>1291</v>
      </c>
      <c r="H23" s="46" t="s">
        <v>1292</v>
      </c>
      <c r="I23" s="7" t="s">
        <v>12</v>
      </c>
    </row>
    <row r="24">
      <c r="A24" s="5" t="s">
        <v>5</v>
      </c>
      <c r="B24" s="5" t="s">
        <v>1293</v>
      </c>
      <c r="C24" s="25">
        <v>58.0</v>
      </c>
      <c r="D24" s="96" t="b">
        <v>1</v>
      </c>
      <c r="E24" s="67">
        <v>1.595778941E9</v>
      </c>
      <c r="F24" s="68">
        <f>IFERROR(__xludf.DUMMYFUNCTION("INDEX(SPLIT(E24, char(10)), 0, 1)/86400+date(1970,1,1)"),44038.66366898148)</f>
        <v>44038.66367</v>
      </c>
      <c r="G24" s="7" t="s">
        <v>1294</v>
      </c>
      <c r="H24" s="46" t="s">
        <v>1295</v>
      </c>
      <c r="I24" s="7" t="s">
        <v>12</v>
      </c>
    </row>
    <row r="25">
      <c r="A25" s="5" t="s">
        <v>3</v>
      </c>
      <c r="B25" s="71" t="s">
        <v>1296</v>
      </c>
      <c r="C25" s="25">
        <v>63.0</v>
      </c>
      <c r="D25" s="96" t="b">
        <v>1</v>
      </c>
      <c r="E25" s="67">
        <v>1.595779322E9</v>
      </c>
      <c r="F25" s="68">
        <f>IFERROR(__xludf.DUMMYFUNCTION("INDEX(SPLIT(E25, char(10)), 0, 1)/86400+date(1970,1,1)"),44038.668078703704)</f>
        <v>44038.66808</v>
      </c>
      <c r="G25" s="7" t="s">
        <v>1297</v>
      </c>
      <c r="H25" s="46" t="s">
        <v>1298</v>
      </c>
      <c r="I25" s="7" t="s">
        <v>13</v>
      </c>
    </row>
    <row r="26">
      <c r="A26" s="5" t="s">
        <v>3</v>
      </c>
      <c r="B26" s="71" t="s">
        <v>1299</v>
      </c>
      <c r="C26" s="25">
        <v>69.0</v>
      </c>
      <c r="D26" s="96" t="b">
        <v>0</v>
      </c>
      <c r="E26" s="67">
        <v>1.595779528E9</v>
      </c>
      <c r="F26" s="68">
        <f>IFERROR(__xludf.DUMMYFUNCTION("INDEX(SPLIT(E26, char(10)), 0, 1)/86400+date(1970,1,1)"),44038.67046296297)</f>
        <v>44038.67046</v>
      </c>
      <c r="G26" s="7" t="s">
        <v>1300</v>
      </c>
      <c r="H26" s="46" t="s">
        <v>1301</v>
      </c>
      <c r="I26" s="7" t="s">
        <v>14</v>
      </c>
    </row>
    <row r="27">
      <c r="A27" s="5" t="s">
        <v>141</v>
      </c>
      <c r="B27" s="71" t="s">
        <v>1302</v>
      </c>
      <c r="C27" s="25">
        <v>70.0</v>
      </c>
      <c r="D27" s="96" t="b">
        <v>0</v>
      </c>
      <c r="E27" s="67">
        <v>1.595779625E9</v>
      </c>
      <c r="F27" s="68">
        <f>IFERROR(__xludf.DUMMYFUNCTION("INDEX(SPLIT(E27, char(10)), 0, 1)/86400+date(1970,1,1)"),44038.671585648146)</f>
        <v>44038.67159</v>
      </c>
      <c r="G27" s="7" t="s">
        <v>1303</v>
      </c>
      <c r="H27" s="46" t="s">
        <v>1304</v>
      </c>
      <c r="I27" s="7" t="s">
        <v>14</v>
      </c>
    </row>
    <row r="28">
      <c r="A28" s="5" t="s">
        <v>5</v>
      </c>
      <c r="B28" s="71" t="s">
        <v>1305</v>
      </c>
      <c r="C28" s="25">
        <v>73.0</v>
      </c>
      <c r="D28" s="96" t="b">
        <v>0</v>
      </c>
      <c r="E28" s="67">
        <v>1.595779886E9</v>
      </c>
      <c r="F28" s="68">
        <f>IFERROR(__xludf.DUMMYFUNCTION("INDEX(SPLIT(E28, char(10)), 0, 1)/86400+date(1970,1,1)"),44038.67460648148)</f>
        <v>44038.67461</v>
      </c>
      <c r="G28" s="7" t="s">
        <v>1306</v>
      </c>
      <c r="H28" s="46" t="s">
        <v>1307</v>
      </c>
      <c r="I28" s="7" t="s">
        <v>93</v>
      </c>
    </row>
    <row r="29">
      <c r="A29" s="5" t="s">
        <v>5</v>
      </c>
      <c r="B29" s="71" t="s">
        <v>1308</v>
      </c>
      <c r="C29" s="25">
        <v>73.0</v>
      </c>
      <c r="D29" s="96" t="b">
        <v>1</v>
      </c>
      <c r="E29" s="67">
        <v>1.595779981E9</v>
      </c>
      <c r="F29" s="68">
        <f>IFERROR(__xludf.DUMMYFUNCTION("INDEX(SPLIT(E29, char(10)), 0, 1)/86400+date(1970,1,1)"),44038.67570601852)</f>
        <v>44038.67571</v>
      </c>
      <c r="G29" s="7" t="s">
        <v>1309</v>
      </c>
      <c r="H29" s="46" t="s">
        <v>1310</v>
      </c>
      <c r="I29" s="7" t="s">
        <v>13</v>
      </c>
    </row>
    <row r="30">
      <c r="A30" s="5" t="s">
        <v>5</v>
      </c>
      <c r="B30" s="71" t="s">
        <v>1311</v>
      </c>
      <c r="C30" s="25">
        <v>73.0</v>
      </c>
      <c r="D30" s="96" t="b">
        <v>0</v>
      </c>
      <c r="E30" s="67">
        <v>1.595780261E9</v>
      </c>
      <c r="F30" s="68">
        <f>IFERROR(__xludf.DUMMYFUNCTION("INDEX(SPLIT(E30, char(10)), 0, 1)/86400+date(1970,1,1)"),44038.67894675926)</f>
        <v>44038.67895</v>
      </c>
      <c r="G30" s="7" t="s">
        <v>1312</v>
      </c>
      <c r="H30" s="46" t="s">
        <v>1313</v>
      </c>
      <c r="I30" s="7" t="s">
        <v>14</v>
      </c>
    </row>
    <row r="31">
      <c r="A31" s="5" t="s">
        <v>5</v>
      </c>
      <c r="B31" s="71" t="s">
        <v>1314</v>
      </c>
      <c r="C31" s="25">
        <v>77.0</v>
      </c>
      <c r="D31" s="96" t="b">
        <v>1</v>
      </c>
      <c r="E31" s="67">
        <v>1.59578036E9</v>
      </c>
      <c r="F31" s="68">
        <f>IFERROR(__xludf.DUMMYFUNCTION("INDEX(SPLIT(E31, char(10)), 0, 1)/86400+date(1970,1,1)"),44038.68009259259)</f>
        <v>44038.68009</v>
      </c>
      <c r="G31" s="7" t="s">
        <v>1315</v>
      </c>
      <c r="H31" s="46" t="s">
        <v>1316</v>
      </c>
      <c r="I31" s="7" t="s">
        <v>14</v>
      </c>
    </row>
    <row r="32">
      <c r="A32" s="5" t="s">
        <v>3</v>
      </c>
      <c r="B32" s="71" t="s">
        <v>1317</v>
      </c>
      <c r="C32" s="25">
        <v>83.0</v>
      </c>
      <c r="D32" s="96" t="b">
        <v>0</v>
      </c>
      <c r="E32" s="67">
        <v>1.595780452E9</v>
      </c>
      <c r="F32" s="68">
        <f>IFERROR(__xludf.DUMMYFUNCTION("INDEX(SPLIT(E32, char(10)), 0, 1)/86400+date(1970,1,1)"),44038.68115740741)</f>
        <v>44038.68116</v>
      </c>
      <c r="G32" s="7" t="s">
        <v>1318</v>
      </c>
      <c r="H32" s="46" t="s">
        <v>1319</v>
      </c>
      <c r="I32" s="7" t="s">
        <v>13</v>
      </c>
    </row>
    <row r="33">
      <c r="A33" s="5" t="s">
        <v>5</v>
      </c>
      <c r="B33" s="71" t="s">
        <v>1320</v>
      </c>
      <c r="C33" s="25">
        <v>86.0</v>
      </c>
      <c r="D33" s="96" t="b">
        <v>0</v>
      </c>
      <c r="E33" s="67">
        <v>1.595780657E9</v>
      </c>
      <c r="F33" s="68">
        <f>IFERROR(__xludf.DUMMYFUNCTION("INDEX(SPLIT(E33, char(10)), 0, 1)/86400+date(1970,1,1)"),44038.68353009259)</f>
        <v>44038.68353</v>
      </c>
      <c r="G33" s="7" t="s">
        <v>1321</v>
      </c>
      <c r="H33" s="46" t="s">
        <v>1322</v>
      </c>
      <c r="I33" s="7" t="s">
        <v>11</v>
      </c>
    </row>
    <row r="34">
      <c r="A34" s="5" t="s">
        <v>5</v>
      </c>
      <c r="B34" s="71" t="s">
        <v>1323</v>
      </c>
      <c r="C34" s="25">
        <v>88.0</v>
      </c>
      <c r="D34" s="96" t="b">
        <v>0</v>
      </c>
      <c r="E34" s="67">
        <v>1.595780758E9</v>
      </c>
      <c r="F34" s="68">
        <f>IFERROR(__xludf.DUMMYFUNCTION("INDEX(SPLIT(E34, char(10)), 0, 1)/86400+date(1970,1,1)"),44038.684699074074)</f>
        <v>44038.6847</v>
      </c>
      <c r="G34" s="7" t="s">
        <v>1324</v>
      </c>
      <c r="H34" s="46" t="s">
        <v>1325</v>
      </c>
      <c r="I34" s="7" t="s">
        <v>11</v>
      </c>
    </row>
    <row r="35">
      <c r="A35" s="5" t="s">
        <v>3</v>
      </c>
      <c r="B35" s="71" t="s">
        <v>1326</v>
      </c>
      <c r="C35" s="25">
        <v>90.0</v>
      </c>
      <c r="D35" s="96" t="b">
        <v>0</v>
      </c>
      <c r="E35" s="67">
        <v>1.595780849E9</v>
      </c>
      <c r="F35" s="68">
        <f>IFERROR(__xludf.DUMMYFUNCTION("INDEX(SPLIT(E35, char(10)), 0, 1)/86400+date(1970,1,1)"),44038.685752314814)</f>
        <v>44038.68575</v>
      </c>
      <c r="G35" s="7" t="s">
        <v>1327</v>
      </c>
      <c r="H35" s="46" t="s">
        <v>1328</v>
      </c>
      <c r="I35" s="7" t="s">
        <v>14</v>
      </c>
    </row>
    <row r="36">
      <c r="A36" s="5" t="s">
        <v>3</v>
      </c>
      <c r="B36" s="71" t="s">
        <v>1329</v>
      </c>
      <c r="C36" s="25">
        <v>92.0</v>
      </c>
      <c r="D36" s="96" t="b">
        <v>0</v>
      </c>
      <c r="E36" s="67">
        <v>1.59578094E9</v>
      </c>
      <c r="F36" s="68">
        <f>IFERROR(__xludf.DUMMYFUNCTION("INDEX(SPLIT(E36, char(10)), 0, 1)/86400+date(1970,1,1)"),44038.68680555555)</f>
        <v>44038.68681</v>
      </c>
      <c r="G36" s="7" t="s">
        <v>1330</v>
      </c>
      <c r="H36" s="46" t="s">
        <v>1331</v>
      </c>
      <c r="I36" s="7" t="s">
        <v>11</v>
      </c>
    </row>
    <row r="37">
      <c r="A37" s="5" t="s">
        <v>3</v>
      </c>
      <c r="B37" s="71" t="s">
        <v>1332</v>
      </c>
      <c r="C37" s="25">
        <v>94.0</v>
      </c>
      <c r="D37" s="96" t="b">
        <v>1</v>
      </c>
      <c r="E37" s="75">
        <v>1.595781035E9</v>
      </c>
      <c r="F37" s="68">
        <f>IFERROR(__xludf.DUMMYFUNCTION("INDEX(SPLIT(E37, char(10)), 0, 1)/86400+date(1970,1,1)"),44038.68790509259)</f>
        <v>44038.68791</v>
      </c>
      <c r="G37" s="5" t="s">
        <v>1333</v>
      </c>
      <c r="H37" s="46" t="s">
        <v>1334</v>
      </c>
      <c r="I37" s="5" t="s">
        <v>13</v>
      </c>
    </row>
    <row r="38">
      <c r="A38" s="5" t="s">
        <v>5</v>
      </c>
      <c r="B38" s="71" t="s">
        <v>1335</v>
      </c>
      <c r="C38" s="25">
        <v>97.0</v>
      </c>
      <c r="D38" s="96" t="b">
        <v>1</v>
      </c>
      <c r="E38" s="75">
        <v>1.59578113E9</v>
      </c>
      <c r="F38" s="68">
        <f>IFERROR(__xludf.DUMMYFUNCTION("INDEX(SPLIT(E38, char(10)), 0, 1)/86400+date(1970,1,1)"),44038.68900462963)</f>
        <v>44038.689</v>
      </c>
      <c r="G38" s="5" t="s">
        <v>1336</v>
      </c>
      <c r="H38" s="46" t="s">
        <v>1337</v>
      </c>
      <c r="I38" s="5" t="s">
        <v>11</v>
      </c>
    </row>
    <row r="39">
      <c r="A39" s="5" t="s">
        <v>5</v>
      </c>
      <c r="B39" s="71" t="s">
        <v>1338</v>
      </c>
      <c r="C39" s="25">
        <v>97.0</v>
      </c>
      <c r="D39" s="96" t="b">
        <v>0</v>
      </c>
      <c r="E39" s="75">
        <v>1.59578122E9</v>
      </c>
      <c r="F39" s="68">
        <f>IFERROR(__xludf.DUMMYFUNCTION("INDEX(SPLIT(E39, char(10)), 0, 1)/86400+date(1970,1,1)"),44038.690046296295)</f>
        <v>44038.69005</v>
      </c>
      <c r="G39" s="5" t="s">
        <v>1339</v>
      </c>
      <c r="H39" s="46" t="s">
        <v>1340</v>
      </c>
      <c r="I39" s="5" t="s">
        <v>13</v>
      </c>
    </row>
    <row r="40">
      <c r="A40" s="5" t="s">
        <v>141</v>
      </c>
      <c r="B40" s="71" t="s">
        <v>1341</v>
      </c>
      <c r="C40" s="25">
        <v>98.0</v>
      </c>
      <c r="D40" s="96" t="b">
        <v>1</v>
      </c>
      <c r="E40" s="75">
        <v>1.595781329E9</v>
      </c>
      <c r="F40" s="68">
        <f>IFERROR(__xludf.DUMMYFUNCTION("INDEX(SPLIT(E40, char(10)), 0, 1)/86400+date(1970,1,1)"),44038.691307870366)</f>
        <v>44038.69131</v>
      </c>
      <c r="G40" s="5" t="s">
        <v>1342</v>
      </c>
      <c r="H40" s="46" t="s">
        <v>1343</v>
      </c>
      <c r="I40" s="5" t="s">
        <v>93</v>
      </c>
    </row>
    <row r="41">
      <c r="A41" s="5" t="s">
        <v>4</v>
      </c>
      <c r="B41" s="71" t="s">
        <v>195</v>
      </c>
      <c r="C41" s="25">
        <v>90.0</v>
      </c>
      <c r="D41" s="96" t="b">
        <v>1</v>
      </c>
      <c r="E41" s="75">
        <v>1.595781433E9</v>
      </c>
      <c r="F41" s="68">
        <f>IFERROR(__xludf.DUMMYFUNCTION("INDEX(SPLIT(E41, char(10)), 0, 1)/86400+date(1970,1,1)"),44038.692511574074)</f>
        <v>44038.69251</v>
      </c>
      <c r="G41" s="5" t="s">
        <v>1344</v>
      </c>
      <c r="H41" s="46" t="s">
        <v>1345</v>
      </c>
      <c r="I41" s="5" t="s">
        <v>12</v>
      </c>
    </row>
    <row r="42">
      <c r="A42" s="5"/>
      <c r="B42" s="71"/>
      <c r="C42" s="25"/>
      <c r="D42" s="5"/>
      <c r="E42" s="75">
        <v>1.595781664E9</v>
      </c>
      <c r="F42" s="68">
        <f>IFERROR(__xludf.DUMMYFUNCTION("INDEX(SPLIT(E42, char(10)), 0, 1)/86400+date(1970,1,1)"),44038.695185185185)</f>
        <v>44038.69519</v>
      </c>
      <c r="G42" s="5" t="s">
        <v>1346</v>
      </c>
      <c r="H42" s="46" t="s">
        <v>1347</v>
      </c>
      <c r="I42" s="5" t="s">
        <v>14</v>
      </c>
    </row>
    <row r="43">
      <c r="A43" s="71"/>
      <c r="B43" s="71"/>
      <c r="C43" s="71"/>
      <c r="D43" s="71"/>
      <c r="E43" s="25">
        <v>1.595781764E9</v>
      </c>
      <c r="F43" s="68">
        <f>IFERROR(__xludf.DUMMYFUNCTION("INDEX(SPLIT(E43, char(10)), 0, 1)/86400+date(1970,1,1)"),44038.69634259259)</f>
        <v>44038.69634</v>
      </c>
      <c r="G43" s="5" t="s">
        <v>1348</v>
      </c>
      <c r="H43" s="46" t="s">
        <v>1349</v>
      </c>
      <c r="I43" s="5" t="s">
        <v>14</v>
      </c>
    </row>
    <row r="44">
      <c r="A44" s="5"/>
      <c r="B44" s="5"/>
      <c r="C44" s="5"/>
      <c r="D44" s="71"/>
      <c r="E44" s="25">
        <v>1.595781882E9</v>
      </c>
      <c r="F44" s="68">
        <f>IFERROR(__xludf.DUMMYFUNCTION("INDEX(SPLIT(E44, char(10)), 0, 1)/86400+date(1970,1,1)"),44038.69770833333)</f>
        <v>44038.69771</v>
      </c>
      <c r="G44" s="5" t="s">
        <v>1350</v>
      </c>
      <c r="H44" s="46" t="s">
        <v>1351</v>
      </c>
      <c r="I44" s="5" t="s">
        <v>11</v>
      </c>
    </row>
    <row r="45">
      <c r="A45" s="5"/>
      <c r="B45" s="5"/>
      <c r="C45" s="5"/>
      <c r="D45" s="5"/>
      <c r="E45" s="25">
        <v>1.595782251E9</v>
      </c>
      <c r="F45" s="68">
        <f>IFERROR(__xludf.DUMMYFUNCTION("INDEX(SPLIT(E45, char(10)), 0, 1)/86400+date(1970,1,1)"),44038.70197916667)</f>
        <v>44038.70198</v>
      </c>
      <c r="G45" s="5" t="s">
        <v>1352</v>
      </c>
      <c r="H45" s="46" t="s">
        <v>1353</v>
      </c>
      <c r="I45" s="5" t="s">
        <v>12</v>
      </c>
    </row>
    <row r="46">
      <c r="A46" s="5"/>
      <c r="B46" s="5"/>
      <c r="C46" s="5"/>
      <c r="D46" s="5"/>
      <c r="E46" s="25">
        <v>1.595782348E9</v>
      </c>
      <c r="F46" s="68">
        <f>IFERROR(__xludf.DUMMYFUNCTION("INDEX(SPLIT(E46, char(10)), 0, 1)/86400+date(1970,1,1)"),44038.70310185185)</f>
        <v>44038.7031</v>
      </c>
      <c r="G46" s="5" t="s">
        <v>1354</v>
      </c>
      <c r="H46" s="46" t="s">
        <v>1355</v>
      </c>
      <c r="I46" s="5" t="s">
        <v>13</v>
      </c>
    </row>
    <row r="47">
      <c r="A47" s="5"/>
      <c r="B47" s="5"/>
      <c r="C47" s="5"/>
      <c r="D47" s="5"/>
      <c r="E47" s="25">
        <v>1.595782447E9</v>
      </c>
      <c r="F47" s="68">
        <f>IFERROR(__xludf.DUMMYFUNCTION("INDEX(SPLIT(E47, char(10)), 0, 1)/86400+date(1970,1,1)"),44038.704247685186)</f>
        <v>44038.70425</v>
      </c>
      <c r="G47" s="5" t="s">
        <v>1356</v>
      </c>
      <c r="H47" s="46" t="s">
        <v>1357</v>
      </c>
      <c r="I47" s="5" t="s">
        <v>13</v>
      </c>
    </row>
    <row r="48">
      <c r="A48" s="5"/>
      <c r="B48" s="5"/>
      <c r="C48" s="5"/>
      <c r="D48" s="5"/>
      <c r="E48" s="25">
        <v>1.595782549E9</v>
      </c>
      <c r="F48" s="68">
        <f>IFERROR(__xludf.DUMMYFUNCTION("INDEX(SPLIT(E48, char(10)), 0, 1)/86400+date(1970,1,1)"),44038.70542824074)</f>
        <v>44038.70543</v>
      </c>
      <c r="G48" s="5" t="s">
        <v>1358</v>
      </c>
      <c r="H48" s="46" t="s">
        <v>1359</v>
      </c>
      <c r="I48" s="5" t="s">
        <v>13</v>
      </c>
    </row>
    <row r="49">
      <c r="A49" s="5"/>
      <c r="B49" s="5"/>
      <c r="C49" s="5"/>
      <c r="D49" s="5"/>
      <c r="E49" s="25">
        <v>1.595782641E9</v>
      </c>
      <c r="F49" s="68">
        <f>IFERROR(__xludf.DUMMYFUNCTION("INDEX(SPLIT(E49, char(10)), 0, 1)/86400+date(1970,1,1)"),44038.70649305556)</f>
        <v>44038.70649</v>
      </c>
      <c r="G49" s="5" t="s">
        <v>1360</v>
      </c>
      <c r="H49" s="46" t="s">
        <v>1361</v>
      </c>
      <c r="I49" s="5" t="s">
        <v>14</v>
      </c>
    </row>
    <row r="50">
      <c r="A50" s="5"/>
      <c r="B50" s="5"/>
      <c r="C50" s="5"/>
      <c r="D50" s="5"/>
      <c r="E50" s="25">
        <v>1.59578275E9</v>
      </c>
      <c r="F50" s="68">
        <f>IFERROR(__xludf.DUMMYFUNCTION("INDEX(SPLIT(E50, char(10)), 0, 1)/86400+date(1970,1,1)"),44038.707754629635)</f>
        <v>44038.70775</v>
      </c>
      <c r="G50" s="5" t="s">
        <v>1362</v>
      </c>
      <c r="H50" s="46" t="s">
        <v>1363</v>
      </c>
      <c r="I50" s="5" t="s">
        <v>13</v>
      </c>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0</v>
      </c>
      <c r="D2" s="17">
        <f t="shared" ref="D2:D6" si="2">C2/COUNTA(I$2:I1000)</f>
        <v>0</v>
      </c>
      <c r="E2" s="77">
        <v>1.595777107E9</v>
      </c>
      <c r="F2" s="68">
        <f>IFERROR(__xludf.DUMMYFUNCTION("INDEX(SPLIT(E2, char(10)), 0, 1)/86400+date(1970,1,1)"),44038.642442129625)</f>
        <v>44038.64244</v>
      </c>
      <c r="G2" s="46" t="s">
        <v>1364</v>
      </c>
      <c r="H2" s="46" t="s">
        <v>1365</v>
      </c>
      <c r="I2" s="46" t="s">
        <v>11</v>
      </c>
    </row>
    <row r="3">
      <c r="A3" s="5" t="s">
        <v>11</v>
      </c>
      <c r="B3" s="5" t="s">
        <v>111</v>
      </c>
      <c r="C3" s="25">
        <f t="shared" si="1"/>
        <v>1</v>
      </c>
      <c r="D3" s="17">
        <f t="shared" si="2"/>
        <v>0.3333333333</v>
      </c>
      <c r="E3" s="77">
        <v>1.595777623E9</v>
      </c>
      <c r="F3" s="68">
        <f>IFERROR(__xludf.DUMMYFUNCTION("INDEX(SPLIT(E3, char(10)), 0, 1)/86400+date(1970,1,1)"),44038.64841435185)</f>
        <v>44038.64841</v>
      </c>
      <c r="G3" s="46" t="s">
        <v>386</v>
      </c>
      <c r="H3" s="46" t="s">
        <v>1366</v>
      </c>
      <c r="I3" s="46" t="s">
        <v>13</v>
      </c>
    </row>
    <row r="4">
      <c r="A4" s="5" t="s">
        <v>12</v>
      </c>
      <c r="B4" s="5" t="s">
        <v>114</v>
      </c>
      <c r="C4" s="25">
        <f t="shared" si="1"/>
        <v>0</v>
      </c>
      <c r="D4" s="17">
        <f t="shared" si="2"/>
        <v>0</v>
      </c>
      <c r="E4" s="77">
        <v>1.595782581E9</v>
      </c>
      <c r="F4" s="68">
        <f>IFERROR(__xludf.DUMMYFUNCTION("INDEX(SPLIT(E4, char(10)), 0, 1)/86400+date(1970,1,1)"),44038.70579861111)</f>
        <v>44038.7058</v>
      </c>
      <c r="G4" s="46" t="s">
        <v>1367</v>
      </c>
      <c r="H4" s="46" t="s">
        <v>1368</v>
      </c>
      <c r="I4" s="46" t="s">
        <v>13</v>
      </c>
    </row>
    <row r="5">
      <c r="A5" s="5" t="s">
        <v>13</v>
      </c>
      <c r="B5" s="5" t="s">
        <v>117</v>
      </c>
      <c r="C5" s="25">
        <f t="shared" si="1"/>
        <v>2</v>
      </c>
      <c r="D5" s="17">
        <f t="shared" si="2"/>
        <v>0.6666666667</v>
      </c>
      <c r="E5" s="77"/>
      <c r="F5" s="68"/>
      <c r="G5" s="46"/>
      <c r="H5" s="46"/>
      <c r="I5" s="7"/>
    </row>
    <row r="6">
      <c r="A6" s="5" t="s">
        <v>14</v>
      </c>
      <c r="B6" s="5" t="s">
        <v>120</v>
      </c>
      <c r="C6" s="25">
        <f t="shared" si="1"/>
        <v>0</v>
      </c>
      <c r="D6" s="17">
        <f t="shared" si="2"/>
        <v>0</v>
      </c>
      <c r="E6" s="67"/>
      <c r="F6" s="68"/>
      <c r="G6" s="7"/>
      <c r="H6" s="46"/>
      <c r="I6" s="7"/>
    </row>
    <row r="7">
      <c r="A7" s="5"/>
      <c r="B7" s="5" t="s">
        <v>10</v>
      </c>
      <c r="C7" s="23">
        <f t="shared" ref="C7:D7" si="3">SUM(C2:C6)</f>
        <v>3</v>
      </c>
      <c r="D7" s="70">
        <f t="shared" si="3"/>
        <v>1</v>
      </c>
      <c r="E7" s="67"/>
      <c r="F7" s="68"/>
      <c r="G7" s="7"/>
      <c r="H7" s="46"/>
      <c r="I7" s="7"/>
    </row>
    <row r="8">
      <c r="A8" s="71"/>
      <c r="B8" s="5" t="s">
        <v>15</v>
      </c>
      <c r="C8" s="25">
        <f t="shared" ref="C8:D8" si="4">SUM(C5:C6)</f>
        <v>2</v>
      </c>
      <c r="D8" s="17">
        <f t="shared" si="4"/>
        <v>0.6666666667</v>
      </c>
      <c r="E8" s="67"/>
      <c r="F8" s="68"/>
      <c r="G8" s="7"/>
      <c r="H8" s="46"/>
      <c r="I8" s="7"/>
    </row>
    <row r="9">
      <c r="A9" s="71"/>
      <c r="B9" s="5" t="s">
        <v>127</v>
      </c>
      <c r="C9" s="25">
        <f>SUM(C6:C7)</f>
        <v>3</v>
      </c>
      <c r="D9" s="17">
        <f>SUM(D5:D6) + D2</f>
        <v>0.6666666667</v>
      </c>
      <c r="E9" s="67"/>
      <c r="F9" s="68"/>
      <c r="G9" s="7"/>
      <c r="H9" s="46"/>
      <c r="I9" s="7"/>
    </row>
    <row r="10">
      <c r="A10" s="71"/>
      <c r="B10" s="71"/>
      <c r="C10" s="71"/>
      <c r="D10" s="71"/>
      <c r="E10" s="67"/>
      <c r="F10" s="68"/>
      <c r="G10" s="7"/>
      <c r="H10" s="46"/>
      <c r="I10" s="7"/>
    </row>
    <row r="11">
      <c r="A11" s="71"/>
      <c r="B11" s="71"/>
      <c r="C11" s="71"/>
      <c r="D11" s="71"/>
      <c r="E11" s="67"/>
      <c r="F11" s="68"/>
      <c r="G11" s="7"/>
      <c r="H11" s="46"/>
      <c r="I11" s="7"/>
    </row>
    <row r="12">
      <c r="A12" s="13" t="s">
        <v>134</v>
      </c>
      <c r="B12" s="85" t="s">
        <v>1369</v>
      </c>
      <c r="C12" s="71"/>
      <c r="D12" s="71"/>
      <c r="E12" s="67"/>
      <c r="F12" s="68"/>
      <c r="G12" s="7"/>
      <c r="H12" s="46"/>
      <c r="I12" s="7"/>
    </row>
    <row r="13">
      <c r="A13" s="13" t="s">
        <v>138</v>
      </c>
      <c r="B13" s="71"/>
      <c r="C13" s="13" t="s">
        <v>101</v>
      </c>
      <c r="D13" s="13" t="s">
        <v>102</v>
      </c>
      <c r="E13" s="67"/>
      <c r="F13" s="68"/>
      <c r="G13" s="7"/>
      <c r="H13" s="46"/>
      <c r="I13" s="7"/>
    </row>
    <row r="14">
      <c r="A14" s="5" t="s">
        <v>141</v>
      </c>
      <c r="B14" s="5" t="s">
        <v>142</v>
      </c>
      <c r="C14" s="23">
        <f t="shared" ref="C14:C17" si="5">COUNTIF($A$19:$A1000, A14)</f>
        <v>3</v>
      </c>
      <c r="D14" s="17">
        <f>IFERROR(__xludf.DUMMYFUNCTION("IF(C14, COUNTIF(FILTER($D$19:$D1000, $A$19:$A1000=A14), TRUE)/C14, 0)"),0.6666666666666666)</f>
        <v>0.6666666667</v>
      </c>
      <c r="E14" s="67"/>
      <c r="F14" s="68"/>
      <c r="G14" s="7"/>
      <c r="H14" s="46"/>
      <c r="I14" s="7"/>
    </row>
    <row r="15">
      <c r="A15" s="5" t="s">
        <v>3</v>
      </c>
      <c r="B15" s="5" t="s">
        <v>145</v>
      </c>
      <c r="C15" s="23">
        <f t="shared" si="5"/>
        <v>7</v>
      </c>
      <c r="D15" s="17">
        <f>IFERROR(__xludf.DUMMYFUNCTION("IF(C15, COUNTIF(FILTER($D$19:$D1000, $A$19:$A1000=A15), TRUE)/C15, 0)"),0.0)</f>
        <v>0</v>
      </c>
      <c r="E15" s="67"/>
      <c r="F15" s="68"/>
      <c r="G15" s="7"/>
      <c r="H15" s="46"/>
      <c r="I15" s="7"/>
    </row>
    <row r="16">
      <c r="A16" s="5" t="s">
        <v>4</v>
      </c>
      <c r="B16" s="5" t="s">
        <v>148</v>
      </c>
      <c r="C16" s="23">
        <f t="shared" si="5"/>
        <v>4</v>
      </c>
      <c r="D16" s="17">
        <f>IFERROR(__xludf.DUMMYFUNCTION("IF(C16, COUNTIF(FILTER($D$19:$D1000, $A$19:$A1000=A16), TRUE)/C16, 0)"),0.0)</f>
        <v>0</v>
      </c>
      <c r="E16" s="67"/>
      <c r="F16" s="68"/>
      <c r="G16" s="7"/>
      <c r="H16" s="46"/>
      <c r="I16" s="7"/>
    </row>
    <row r="17">
      <c r="A17" s="5" t="s">
        <v>5</v>
      </c>
      <c r="B17" s="5" t="s">
        <v>151</v>
      </c>
      <c r="C17" s="23">
        <f t="shared" si="5"/>
        <v>9</v>
      </c>
      <c r="D17" s="17">
        <f>IFERROR(__xludf.DUMMYFUNCTION("IF(C17, COUNTIF(FILTER($D$19:$D1000, $A$19:$A1000=A17), TRUE)/C17, 0)"),0.0)</f>
        <v>0</v>
      </c>
      <c r="E17" s="67"/>
      <c r="F17" s="68"/>
      <c r="G17" s="7"/>
      <c r="H17" s="46"/>
      <c r="I17" s="7"/>
    </row>
    <row r="18">
      <c r="A18" s="71"/>
      <c r="B18" s="13" t="s">
        <v>6</v>
      </c>
      <c r="C18" s="23">
        <f>SUM(C14:C17)</f>
        <v>23</v>
      </c>
      <c r="D18" s="17">
        <f>COUNTIF($D$19:$D1000, TRUE)/SUM($C$14:$C$17)</f>
        <v>0.08695652174</v>
      </c>
      <c r="E18" s="67"/>
      <c r="F18" s="68"/>
      <c r="G18" s="7"/>
      <c r="H18" s="46"/>
      <c r="I18" s="7"/>
    </row>
    <row r="19">
      <c r="A19" s="5" t="s">
        <v>4</v>
      </c>
      <c r="B19" s="5" t="s">
        <v>161</v>
      </c>
      <c r="C19" s="25">
        <v>1.0</v>
      </c>
      <c r="D19" s="79" t="b">
        <v>0</v>
      </c>
      <c r="E19" s="67"/>
      <c r="F19" s="68"/>
      <c r="G19" s="7"/>
      <c r="H19" s="46"/>
      <c r="I19" s="7"/>
    </row>
    <row r="20">
      <c r="A20" s="5" t="s">
        <v>3</v>
      </c>
      <c r="B20" s="5" t="s">
        <v>1283</v>
      </c>
      <c r="C20" s="25">
        <v>9.0</v>
      </c>
      <c r="D20" s="79" t="b">
        <v>0</v>
      </c>
      <c r="E20" s="67"/>
      <c r="F20" s="68"/>
      <c r="G20" s="7"/>
      <c r="H20" s="46"/>
      <c r="I20" s="7"/>
    </row>
    <row r="21">
      <c r="A21" s="5" t="s">
        <v>141</v>
      </c>
      <c r="B21" s="5" t="s">
        <v>1286</v>
      </c>
      <c r="C21" s="25">
        <v>33.0</v>
      </c>
      <c r="D21" s="79" t="b">
        <v>1</v>
      </c>
      <c r="E21" s="67"/>
      <c r="F21" s="68"/>
      <c r="G21" s="7"/>
      <c r="H21" s="46"/>
      <c r="I21" s="7"/>
    </row>
    <row r="22">
      <c r="A22" s="5" t="s">
        <v>4</v>
      </c>
      <c r="B22" s="5" t="s">
        <v>167</v>
      </c>
      <c r="C22" s="25">
        <v>45.0</v>
      </c>
      <c r="D22" s="79" t="b">
        <v>0</v>
      </c>
      <c r="E22" s="67"/>
      <c r="F22" s="68"/>
      <c r="G22" s="7"/>
      <c r="H22" s="46"/>
      <c r="I22" s="7"/>
    </row>
    <row r="23">
      <c r="A23" s="5" t="s">
        <v>4</v>
      </c>
      <c r="B23" s="5" t="s">
        <v>170</v>
      </c>
      <c r="C23" s="25">
        <v>45.0</v>
      </c>
      <c r="D23" s="79" t="b">
        <v>0</v>
      </c>
      <c r="E23" s="67"/>
      <c r="F23" s="68"/>
      <c r="G23" s="7"/>
      <c r="H23" s="46"/>
      <c r="I23" s="7"/>
    </row>
    <row r="24">
      <c r="A24" s="5" t="s">
        <v>5</v>
      </c>
      <c r="B24" s="5" t="s">
        <v>1293</v>
      </c>
      <c r="C24" s="25">
        <v>58.0</v>
      </c>
      <c r="D24" s="79" t="b">
        <v>0</v>
      </c>
      <c r="E24" s="67"/>
      <c r="F24" s="68"/>
      <c r="G24" s="7"/>
      <c r="H24" s="46"/>
      <c r="I24" s="7"/>
    </row>
    <row r="25">
      <c r="A25" s="5" t="s">
        <v>3</v>
      </c>
      <c r="B25" s="71" t="s">
        <v>1296</v>
      </c>
      <c r="C25" s="25">
        <v>63.0</v>
      </c>
      <c r="D25" s="79" t="b">
        <v>0</v>
      </c>
      <c r="E25" s="67"/>
      <c r="F25" s="68"/>
      <c r="G25" s="7"/>
      <c r="H25" s="46"/>
      <c r="I25" s="7"/>
    </row>
    <row r="26">
      <c r="A26" s="5" t="s">
        <v>3</v>
      </c>
      <c r="B26" s="71" t="s">
        <v>1299</v>
      </c>
      <c r="C26" s="25">
        <v>69.0</v>
      </c>
      <c r="D26" s="79" t="b">
        <v>0</v>
      </c>
      <c r="E26" s="67"/>
      <c r="F26" s="68"/>
      <c r="G26" s="7"/>
      <c r="H26" s="46"/>
      <c r="I26" s="7"/>
    </row>
    <row r="27">
      <c r="A27" s="5" t="s">
        <v>141</v>
      </c>
      <c r="B27" s="71" t="s">
        <v>1302</v>
      </c>
      <c r="C27" s="25">
        <v>70.0</v>
      </c>
      <c r="D27" s="79" t="b">
        <v>0</v>
      </c>
      <c r="E27" s="67"/>
      <c r="F27" s="68"/>
      <c r="G27" s="7"/>
      <c r="H27" s="46"/>
      <c r="I27" s="7"/>
    </row>
    <row r="28">
      <c r="A28" s="5" t="s">
        <v>5</v>
      </c>
      <c r="B28" s="71" t="s">
        <v>1305</v>
      </c>
      <c r="C28" s="25">
        <v>73.0</v>
      </c>
      <c r="D28" s="79" t="b">
        <v>0</v>
      </c>
      <c r="E28" s="67"/>
      <c r="F28" s="68"/>
      <c r="G28" s="7"/>
      <c r="H28" s="46"/>
      <c r="I28" s="7"/>
    </row>
    <row r="29">
      <c r="A29" s="5" t="s">
        <v>5</v>
      </c>
      <c r="B29" s="71" t="s">
        <v>1308</v>
      </c>
      <c r="C29" s="25">
        <v>73.0</v>
      </c>
      <c r="D29" s="79" t="b">
        <v>0</v>
      </c>
      <c r="E29" s="67"/>
      <c r="F29" s="68"/>
      <c r="G29" s="7"/>
      <c r="H29" s="46"/>
      <c r="I29" s="7"/>
    </row>
    <row r="30">
      <c r="A30" s="5" t="s">
        <v>5</v>
      </c>
      <c r="B30" s="71" t="s">
        <v>1311</v>
      </c>
      <c r="C30" s="25">
        <v>73.0</v>
      </c>
      <c r="D30" s="79" t="b">
        <v>0</v>
      </c>
      <c r="E30" s="67"/>
      <c r="F30" s="68"/>
      <c r="G30" s="7"/>
      <c r="H30" s="46"/>
      <c r="I30" s="7"/>
    </row>
    <row r="31">
      <c r="A31" s="5" t="s">
        <v>5</v>
      </c>
      <c r="B31" s="71" t="s">
        <v>1314</v>
      </c>
      <c r="C31" s="25">
        <v>77.0</v>
      </c>
      <c r="D31" s="79" t="b">
        <v>0</v>
      </c>
      <c r="E31" s="67"/>
      <c r="F31" s="68"/>
      <c r="G31" s="7"/>
      <c r="H31" s="46"/>
      <c r="I31" s="7"/>
    </row>
    <row r="32">
      <c r="A32" s="5" t="s">
        <v>3</v>
      </c>
      <c r="B32" s="71" t="s">
        <v>1317</v>
      </c>
      <c r="C32" s="25">
        <v>83.0</v>
      </c>
      <c r="D32" s="79" t="b">
        <v>0</v>
      </c>
      <c r="E32" s="67"/>
      <c r="F32" s="68"/>
      <c r="G32" s="7"/>
      <c r="H32" s="46"/>
      <c r="I32" s="7"/>
    </row>
    <row r="33">
      <c r="A33" s="5" t="s">
        <v>5</v>
      </c>
      <c r="B33" s="71" t="s">
        <v>1320</v>
      </c>
      <c r="C33" s="25">
        <v>86.0</v>
      </c>
      <c r="D33" s="79" t="b">
        <v>0</v>
      </c>
      <c r="E33" s="67"/>
      <c r="F33" s="68"/>
      <c r="G33" s="7"/>
      <c r="H33" s="46"/>
      <c r="I33" s="7"/>
    </row>
    <row r="34">
      <c r="A34" s="5" t="s">
        <v>5</v>
      </c>
      <c r="B34" s="71" t="s">
        <v>1323</v>
      </c>
      <c r="C34" s="25">
        <v>88.0</v>
      </c>
      <c r="D34" s="79" t="b">
        <v>0</v>
      </c>
      <c r="E34" s="67"/>
      <c r="F34" s="68"/>
      <c r="G34" s="7"/>
      <c r="H34" s="46"/>
      <c r="I34" s="7"/>
    </row>
    <row r="35">
      <c r="A35" s="5" t="s">
        <v>3</v>
      </c>
      <c r="B35" s="71" t="s">
        <v>1326</v>
      </c>
      <c r="C35" s="25">
        <v>90.0</v>
      </c>
      <c r="D35" s="79" t="b">
        <v>0</v>
      </c>
      <c r="E35" s="67"/>
      <c r="F35" s="68"/>
      <c r="G35" s="7"/>
      <c r="H35" s="46"/>
      <c r="I35" s="7"/>
    </row>
    <row r="36">
      <c r="A36" s="5" t="s">
        <v>3</v>
      </c>
      <c r="B36" s="71" t="s">
        <v>1329</v>
      </c>
      <c r="C36" s="25">
        <v>92.0</v>
      </c>
      <c r="D36" s="79" t="b">
        <v>0</v>
      </c>
      <c r="E36" s="67"/>
      <c r="F36" s="68"/>
      <c r="G36" s="7"/>
      <c r="H36" s="46"/>
      <c r="I36" s="7"/>
    </row>
    <row r="37">
      <c r="A37" s="5" t="s">
        <v>3</v>
      </c>
      <c r="B37" s="71" t="s">
        <v>1332</v>
      </c>
      <c r="C37" s="25">
        <v>94.0</v>
      </c>
      <c r="D37" s="79" t="b">
        <v>0</v>
      </c>
      <c r="E37" s="75"/>
      <c r="F37" s="68"/>
      <c r="G37" s="5"/>
      <c r="H37" s="46"/>
      <c r="I37" s="5"/>
    </row>
    <row r="38">
      <c r="A38" s="5" t="s">
        <v>5</v>
      </c>
      <c r="B38" s="71" t="s">
        <v>1335</v>
      </c>
      <c r="C38" s="25">
        <v>97.0</v>
      </c>
      <c r="D38" s="79" t="b">
        <v>0</v>
      </c>
      <c r="E38" s="75"/>
      <c r="F38" s="68"/>
      <c r="G38" s="5"/>
      <c r="H38" s="46"/>
      <c r="I38" s="5"/>
    </row>
    <row r="39">
      <c r="A39" s="5" t="s">
        <v>5</v>
      </c>
      <c r="B39" s="71" t="s">
        <v>1338</v>
      </c>
      <c r="C39" s="25">
        <v>97.0</v>
      </c>
      <c r="D39" s="79" t="b">
        <v>0</v>
      </c>
      <c r="E39" s="75"/>
      <c r="F39" s="68"/>
      <c r="G39" s="5"/>
      <c r="H39" s="46"/>
      <c r="I39" s="5"/>
    </row>
    <row r="40">
      <c r="A40" s="5" t="s">
        <v>141</v>
      </c>
      <c r="B40" s="71" t="s">
        <v>1341</v>
      </c>
      <c r="C40" s="25">
        <v>98.0</v>
      </c>
      <c r="D40" s="79" t="b">
        <v>1</v>
      </c>
      <c r="E40" s="75"/>
      <c r="F40" s="68"/>
      <c r="G40" s="5"/>
      <c r="H40" s="46"/>
      <c r="I40" s="5"/>
    </row>
    <row r="41">
      <c r="A41" s="5" t="s">
        <v>4</v>
      </c>
      <c r="B41" s="71" t="s">
        <v>195</v>
      </c>
      <c r="C41" s="25">
        <v>90.0</v>
      </c>
      <c r="D41" s="79" t="b">
        <v>0</v>
      </c>
      <c r="E41" s="75"/>
      <c r="F41" s="68"/>
      <c r="G41" s="5"/>
      <c r="H41" s="46"/>
      <c r="I41" s="5"/>
    </row>
    <row r="42">
      <c r="A42" s="5"/>
      <c r="B42" s="71"/>
      <c r="C42" s="25"/>
      <c r="D42" s="5"/>
      <c r="E42" s="75"/>
      <c r="F42" s="68"/>
      <c r="G42" s="5"/>
      <c r="H42" s="46"/>
      <c r="I42" s="5"/>
    </row>
    <row r="43">
      <c r="A43" s="71"/>
      <c r="B43" s="71"/>
      <c r="C43" s="71"/>
      <c r="D43" s="71"/>
      <c r="E43" s="25"/>
      <c r="F43" s="68"/>
      <c r="G43" s="5"/>
      <c r="H43" s="46"/>
      <c r="I43" s="5"/>
    </row>
    <row r="44">
      <c r="A44" s="5"/>
      <c r="B44" s="5"/>
      <c r="C44" s="5"/>
      <c r="D44" s="71"/>
      <c r="E44" s="25"/>
      <c r="F44" s="68"/>
      <c r="G44" s="5"/>
      <c r="H44" s="46"/>
      <c r="I44" s="5"/>
    </row>
    <row r="45">
      <c r="A45" s="5"/>
      <c r="B45" s="5"/>
      <c r="C45" s="5"/>
      <c r="D45" s="5"/>
      <c r="E45" s="25"/>
      <c r="F45" s="68"/>
      <c r="G45" s="5"/>
      <c r="H45" s="46"/>
      <c r="I45" s="5"/>
    </row>
    <row r="46">
      <c r="A46" s="5"/>
      <c r="B46" s="5"/>
      <c r="C46" s="5"/>
      <c r="D46" s="5"/>
      <c r="E46" s="25"/>
      <c r="F46" s="68"/>
      <c r="G46" s="5"/>
      <c r="H46" s="46"/>
      <c r="I46" s="5"/>
    </row>
    <row r="47">
      <c r="A47" s="5"/>
      <c r="B47" s="5"/>
      <c r="C47" s="5"/>
      <c r="D47" s="5"/>
      <c r="E47" s="25"/>
      <c r="F47" s="68"/>
      <c r="G47" s="5"/>
      <c r="H47" s="46"/>
      <c r="I47" s="5"/>
    </row>
    <row r="48">
      <c r="A48" s="5"/>
      <c r="B48" s="5"/>
      <c r="C48" s="5"/>
      <c r="D48" s="5"/>
      <c r="E48" s="25"/>
      <c r="F48" s="68"/>
      <c r="G48" s="5"/>
      <c r="H48" s="46"/>
      <c r="I48" s="5"/>
    </row>
    <row r="49">
      <c r="A49" s="5"/>
      <c r="B49" s="5"/>
      <c r="C49" s="5"/>
      <c r="D49" s="5"/>
      <c r="E49" s="25"/>
      <c r="F49" s="68"/>
      <c r="G49" s="5"/>
      <c r="H49" s="46"/>
      <c r="I49" s="5"/>
    </row>
    <row r="50">
      <c r="A50" s="5"/>
      <c r="B50" s="5"/>
      <c r="C50" s="5"/>
      <c r="D50" s="5"/>
      <c r="E50" s="25"/>
      <c r="F50" s="68"/>
      <c r="G50" s="5"/>
      <c r="H50" s="46"/>
      <c r="I50" s="5"/>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0</v>
      </c>
      <c r="D2" s="17">
        <f t="shared" ref="D2:D6" si="2">C2/COUNTA(I$2:I1000)</f>
        <v>0</v>
      </c>
      <c r="E2" s="77">
        <v>1.595776111E9</v>
      </c>
      <c r="F2" s="68">
        <f>IFERROR(__xludf.DUMMYFUNCTION("INDEX(SPLIT(E2, char(10)), 0, 1)/86400+date(1970,1,1)"),44038.63091435185)</f>
        <v>44038.63091</v>
      </c>
      <c r="G2" s="46" t="s">
        <v>1370</v>
      </c>
      <c r="H2" s="46" t="s">
        <v>1371</v>
      </c>
      <c r="I2" s="46" t="s">
        <v>14</v>
      </c>
    </row>
    <row r="3">
      <c r="A3" s="5" t="s">
        <v>11</v>
      </c>
      <c r="B3" s="5" t="s">
        <v>111</v>
      </c>
      <c r="C3" s="25">
        <f t="shared" si="1"/>
        <v>3</v>
      </c>
      <c r="D3" s="17">
        <f t="shared" si="2"/>
        <v>0.2307692308</v>
      </c>
      <c r="E3" s="77">
        <v>1.595776502E9</v>
      </c>
      <c r="F3" s="68">
        <f>IFERROR(__xludf.DUMMYFUNCTION("INDEX(SPLIT(E3, char(10)), 0, 1)/86400+date(1970,1,1)"),44038.63543981481)</f>
        <v>44038.63544</v>
      </c>
      <c r="G3" s="46" t="s">
        <v>1372</v>
      </c>
      <c r="H3" s="46" t="s">
        <v>1373</v>
      </c>
      <c r="I3" s="46" t="s">
        <v>11</v>
      </c>
    </row>
    <row r="4">
      <c r="A4" s="5" t="s">
        <v>12</v>
      </c>
      <c r="B4" s="5" t="s">
        <v>114</v>
      </c>
      <c r="C4" s="25">
        <f t="shared" si="1"/>
        <v>2</v>
      </c>
      <c r="D4" s="17">
        <f t="shared" si="2"/>
        <v>0.1538461538</v>
      </c>
      <c r="E4" s="77">
        <v>1.595777103E9</v>
      </c>
      <c r="F4" s="68">
        <f>IFERROR(__xludf.DUMMYFUNCTION("INDEX(SPLIT(E4, char(10)), 0, 1)/86400+date(1970,1,1)"),44038.64239583333)</f>
        <v>44038.6424</v>
      </c>
      <c r="G4" s="46" t="s">
        <v>1374</v>
      </c>
      <c r="H4" s="46" t="s">
        <v>1375</v>
      </c>
      <c r="I4" s="46" t="s">
        <v>14</v>
      </c>
    </row>
    <row r="5">
      <c r="A5" s="5" t="s">
        <v>13</v>
      </c>
      <c r="B5" s="5" t="s">
        <v>117</v>
      </c>
      <c r="C5" s="25">
        <f t="shared" si="1"/>
        <v>3</v>
      </c>
      <c r="D5" s="17">
        <f t="shared" si="2"/>
        <v>0.2307692308</v>
      </c>
      <c r="E5" s="77">
        <v>1.595777711E9</v>
      </c>
      <c r="F5" s="68">
        <f>IFERROR(__xludf.DUMMYFUNCTION("INDEX(SPLIT(E5, char(10)), 0, 1)/86400+date(1970,1,1)"),44038.64943287037)</f>
        <v>44038.64943</v>
      </c>
      <c r="G5" s="46" t="s">
        <v>1376</v>
      </c>
      <c r="H5" s="46" t="s">
        <v>1377</v>
      </c>
      <c r="I5" s="46" t="s">
        <v>14</v>
      </c>
    </row>
    <row r="6">
      <c r="A6" s="5" t="s">
        <v>14</v>
      </c>
      <c r="B6" s="5" t="s">
        <v>120</v>
      </c>
      <c r="C6" s="25">
        <f t="shared" si="1"/>
        <v>5</v>
      </c>
      <c r="D6" s="17">
        <f t="shared" si="2"/>
        <v>0.3846153846</v>
      </c>
      <c r="E6" s="77">
        <v>1.595778555E9</v>
      </c>
      <c r="F6" s="68">
        <f>IFERROR(__xludf.DUMMYFUNCTION("INDEX(SPLIT(E6, char(10)), 0, 1)/86400+date(1970,1,1)"),44038.65920138889)</f>
        <v>44038.6592</v>
      </c>
      <c r="G6" s="46" t="s">
        <v>1378</v>
      </c>
      <c r="H6" s="46" t="s">
        <v>1379</v>
      </c>
      <c r="I6" s="46" t="s">
        <v>12</v>
      </c>
    </row>
    <row r="7">
      <c r="A7" s="5"/>
      <c r="B7" s="5" t="s">
        <v>10</v>
      </c>
      <c r="C7" s="23">
        <f t="shared" ref="C7:D7" si="3">SUM(C2:C6)</f>
        <v>13</v>
      </c>
      <c r="D7" s="70">
        <f t="shared" si="3"/>
        <v>1</v>
      </c>
      <c r="E7" s="77">
        <v>1.595778788E9</v>
      </c>
      <c r="F7" s="68">
        <f>IFERROR(__xludf.DUMMYFUNCTION("INDEX(SPLIT(E7, char(10)), 0, 1)/86400+date(1970,1,1)"),44038.661898148144)</f>
        <v>44038.6619</v>
      </c>
      <c r="G7" s="46" t="s">
        <v>1380</v>
      </c>
      <c r="H7" s="46" t="s">
        <v>1381</v>
      </c>
      <c r="I7" s="46" t="s">
        <v>12</v>
      </c>
    </row>
    <row r="8">
      <c r="A8" s="71"/>
      <c r="B8" s="5" t="s">
        <v>15</v>
      </c>
      <c r="C8" s="25">
        <f t="shared" ref="C8:D8" si="4">SUM(C5:C6)</f>
        <v>8</v>
      </c>
      <c r="D8" s="17">
        <f t="shared" si="4"/>
        <v>0.6153846154</v>
      </c>
      <c r="E8" s="77">
        <v>1.595780862E9</v>
      </c>
      <c r="F8" s="68">
        <f>IFERROR(__xludf.DUMMYFUNCTION("INDEX(SPLIT(E8, char(10)), 0, 1)/86400+date(1970,1,1)"),44038.68590277778)</f>
        <v>44038.6859</v>
      </c>
      <c r="G8" s="46" t="s">
        <v>1382</v>
      </c>
      <c r="H8" s="46" t="s">
        <v>1383</v>
      </c>
      <c r="I8" s="46" t="s">
        <v>11</v>
      </c>
    </row>
    <row r="9">
      <c r="A9" s="71"/>
      <c r="B9" s="5" t="s">
        <v>127</v>
      </c>
      <c r="C9" s="25">
        <f>SUM(C6:C7)</f>
        <v>18</v>
      </c>
      <c r="D9" s="17">
        <f>SUM(D5:D6) + D2</f>
        <v>0.6153846154</v>
      </c>
      <c r="E9" s="77">
        <v>1.595781021E9</v>
      </c>
      <c r="F9" s="68">
        <f>IFERROR(__xludf.DUMMYFUNCTION("INDEX(SPLIT(E9, char(10)), 0, 1)/86400+date(1970,1,1)"),44038.687743055554)</f>
        <v>44038.68774</v>
      </c>
      <c r="G9" s="46" t="s">
        <v>1384</v>
      </c>
      <c r="H9" s="46" t="s">
        <v>1385</v>
      </c>
      <c r="I9" s="46" t="s">
        <v>11</v>
      </c>
    </row>
    <row r="10">
      <c r="A10" s="71"/>
      <c r="B10" s="71"/>
      <c r="C10" s="71"/>
      <c r="D10" s="71"/>
      <c r="E10" s="77">
        <v>1.595781325E9</v>
      </c>
      <c r="F10" s="68">
        <f>IFERROR(__xludf.DUMMYFUNCTION("INDEX(SPLIT(E10, char(10)), 0, 1)/86400+date(1970,1,1)"),44038.69126157407)</f>
        <v>44038.69126</v>
      </c>
      <c r="G10" s="46" t="s">
        <v>1386</v>
      </c>
      <c r="H10" s="46" t="s">
        <v>1387</v>
      </c>
      <c r="I10" s="46" t="s">
        <v>13</v>
      </c>
    </row>
    <row r="11">
      <c r="A11" s="71"/>
      <c r="B11" s="71"/>
      <c r="C11" s="71"/>
      <c r="D11" s="71"/>
      <c r="E11" s="77">
        <v>1.5957815E9</v>
      </c>
      <c r="F11" s="68">
        <f>IFERROR(__xludf.DUMMYFUNCTION("INDEX(SPLIT(E11, char(10)), 0, 1)/86400+date(1970,1,1)"),44038.69328703704)</f>
        <v>44038.69329</v>
      </c>
      <c r="G11" s="46" t="s">
        <v>1388</v>
      </c>
      <c r="H11" s="46" t="s">
        <v>1389</v>
      </c>
      <c r="I11" s="46" t="s">
        <v>14</v>
      </c>
    </row>
    <row r="12">
      <c r="A12" s="13" t="s">
        <v>134</v>
      </c>
      <c r="B12" s="85" t="s">
        <v>1390</v>
      </c>
      <c r="C12" s="71"/>
      <c r="D12" s="71"/>
      <c r="E12" s="77">
        <v>1.59578179E9</v>
      </c>
      <c r="F12" s="68">
        <f>IFERROR(__xludf.DUMMYFUNCTION("INDEX(SPLIT(E12, char(10)), 0, 1)/86400+date(1970,1,1)"),44038.69664351852)</f>
        <v>44038.69664</v>
      </c>
      <c r="G12" s="46" t="s">
        <v>1391</v>
      </c>
      <c r="H12" s="46" t="s">
        <v>1392</v>
      </c>
      <c r="I12" s="46" t="s">
        <v>14</v>
      </c>
    </row>
    <row r="13">
      <c r="A13" s="13" t="s">
        <v>138</v>
      </c>
      <c r="B13" s="71"/>
      <c r="C13" s="13" t="s">
        <v>101</v>
      </c>
      <c r="D13" s="13" t="s">
        <v>102</v>
      </c>
      <c r="E13" s="77">
        <v>1.595782368E9</v>
      </c>
      <c r="F13" s="68">
        <f>IFERROR(__xludf.DUMMYFUNCTION("INDEX(SPLIT(E13, char(10)), 0, 1)/86400+date(1970,1,1)"),44038.70333333334)</f>
        <v>44038.70333</v>
      </c>
      <c r="G13" s="46" t="s">
        <v>1393</v>
      </c>
      <c r="H13" s="46" t="s">
        <v>1394</v>
      </c>
      <c r="I13" s="46" t="s">
        <v>13</v>
      </c>
    </row>
    <row r="14">
      <c r="A14" s="5" t="s">
        <v>141</v>
      </c>
      <c r="B14" s="5" t="s">
        <v>142</v>
      </c>
      <c r="C14" s="23">
        <f t="shared" ref="C14:C17" si="5">COUNTIF($A$19:$A1000, A14)</f>
        <v>3</v>
      </c>
      <c r="D14" s="17">
        <f>IFERROR(__xludf.DUMMYFUNCTION("IF(C14, COUNTIF(FILTER($D$19:$D1000, $A$19:$A1000=A14), TRUE)/C14, 0)"),0.3333333333333333)</f>
        <v>0.3333333333</v>
      </c>
      <c r="E14" s="77">
        <v>1.595782615E9</v>
      </c>
      <c r="F14" s="68">
        <f>IFERROR(__xludf.DUMMYFUNCTION("INDEX(SPLIT(E14, char(10)), 0, 1)/86400+date(1970,1,1)"),44038.706192129626)</f>
        <v>44038.70619</v>
      </c>
      <c r="G14" s="46" t="s">
        <v>1395</v>
      </c>
      <c r="H14" s="46" t="s">
        <v>1396</v>
      </c>
      <c r="I14" s="46" t="s">
        <v>13</v>
      </c>
    </row>
    <row r="15">
      <c r="A15" s="5" t="s">
        <v>3</v>
      </c>
      <c r="B15" s="5" t="s">
        <v>145</v>
      </c>
      <c r="C15" s="23">
        <f t="shared" si="5"/>
        <v>7</v>
      </c>
      <c r="D15" s="17">
        <f>IFERROR(__xludf.DUMMYFUNCTION("IF(C15, COUNTIF(FILTER($D$19:$D1000, $A$19:$A1000=A15), TRUE)/C15, 0)"),0.14285714285714285)</f>
        <v>0.1428571429</v>
      </c>
      <c r="E15" s="77"/>
      <c r="F15" s="68"/>
      <c r="G15" s="46"/>
      <c r="H15" s="46"/>
      <c r="I15" s="7"/>
    </row>
    <row r="16">
      <c r="A16" s="5" t="s">
        <v>4</v>
      </c>
      <c r="B16" s="5" t="s">
        <v>148</v>
      </c>
      <c r="C16" s="23">
        <f t="shared" si="5"/>
        <v>4</v>
      </c>
      <c r="D16" s="17">
        <f>IFERROR(__xludf.DUMMYFUNCTION("IF(C16, COUNTIF(FILTER($D$19:$D1000, $A$19:$A1000=A16), TRUE)/C16, 0)"),0.0)</f>
        <v>0</v>
      </c>
      <c r="E16" s="77"/>
      <c r="F16" s="68"/>
      <c r="G16" s="7"/>
      <c r="H16" s="46"/>
      <c r="I16" s="7"/>
    </row>
    <row r="17">
      <c r="A17" s="5" t="s">
        <v>5</v>
      </c>
      <c r="B17" s="5" t="s">
        <v>151</v>
      </c>
      <c r="C17" s="23">
        <f t="shared" si="5"/>
        <v>9</v>
      </c>
      <c r="D17" s="17">
        <f>IFERROR(__xludf.DUMMYFUNCTION("IF(C17, COUNTIF(FILTER($D$19:$D1000, $A$19:$A1000=A17), TRUE)/C17, 0)"),0.1111111111111111)</f>
        <v>0.1111111111</v>
      </c>
      <c r="E17" s="77"/>
      <c r="F17" s="68"/>
      <c r="G17" s="7"/>
      <c r="H17" s="46"/>
      <c r="I17" s="7"/>
    </row>
    <row r="18">
      <c r="A18" s="71"/>
      <c r="B18" s="13" t="s">
        <v>6</v>
      </c>
      <c r="C18" s="23">
        <f>SUM(C14:C17)</f>
        <v>23</v>
      </c>
      <c r="D18" s="17">
        <f>COUNTIF($D$19:$D1000, TRUE)/SUM($C$14:$C$17)</f>
        <v>0.1304347826</v>
      </c>
      <c r="E18" s="67"/>
      <c r="F18" s="68"/>
      <c r="G18" s="7"/>
      <c r="H18" s="46"/>
      <c r="I18" s="7"/>
    </row>
    <row r="19">
      <c r="A19" s="5" t="s">
        <v>4</v>
      </c>
      <c r="B19" s="5" t="s">
        <v>161</v>
      </c>
      <c r="C19" s="25">
        <v>1.0</v>
      </c>
      <c r="D19" s="79" t="b">
        <v>0</v>
      </c>
      <c r="E19" s="67"/>
      <c r="F19" s="68"/>
      <c r="G19" s="7"/>
      <c r="H19" s="46"/>
      <c r="I19" s="7"/>
    </row>
    <row r="20">
      <c r="A20" s="5" t="s">
        <v>3</v>
      </c>
      <c r="B20" s="5" t="s">
        <v>1283</v>
      </c>
      <c r="C20" s="25">
        <v>9.0</v>
      </c>
      <c r="D20" s="79" t="b">
        <v>0</v>
      </c>
      <c r="E20" s="67"/>
      <c r="F20" s="68"/>
      <c r="G20" s="7"/>
      <c r="H20" s="46"/>
      <c r="I20" s="7"/>
    </row>
    <row r="21">
      <c r="A21" s="5" t="s">
        <v>141</v>
      </c>
      <c r="B21" s="5" t="s">
        <v>1286</v>
      </c>
      <c r="C21" s="25">
        <v>33.0</v>
      </c>
      <c r="D21" s="79" t="b">
        <v>0</v>
      </c>
      <c r="E21" s="67"/>
      <c r="F21" s="68"/>
      <c r="G21" s="7"/>
      <c r="H21" s="46"/>
      <c r="I21" s="7"/>
    </row>
    <row r="22">
      <c r="A22" s="5" t="s">
        <v>4</v>
      </c>
      <c r="B22" s="5" t="s">
        <v>167</v>
      </c>
      <c r="C22" s="25">
        <v>45.0</v>
      </c>
      <c r="D22" s="79" t="b">
        <v>0</v>
      </c>
      <c r="E22" s="67"/>
      <c r="F22" s="68"/>
      <c r="G22" s="7"/>
      <c r="H22" s="46"/>
      <c r="I22" s="7"/>
    </row>
    <row r="23">
      <c r="A23" s="5" t="s">
        <v>4</v>
      </c>
      <c r="B23" s="5" t="s">
        <v>170</v>
      </c>
      <c r="C23" s="25">
        <v>45.0</v>
      </c>
      <c r="D23" s="79" t="b">
        <v>0</v>
      </c>
      <c r="E23" s="67"/>
      <c r="F23" s="68"/>
      <c r="G23" s="7"/>
      <c r="H23" s="46"/>
      <c r="I23" s="7"/>
    </row>
    <row r="24">
      <c r="A24" s="5" t="s">
        <v>5</v>
      </c>
      <c r="B24" s="5" t="s">
        <v>1293</v>
      </c>
      <c r="C24" s="25">
        <v>58.0</v>
      </c>
      <c r="D24" s="79" t="b">
        <v>0</v>
      </c>
      <c r="E24" s="67"/>
      <c r="F24" s="68"/>
      <c r="G24" s="7"/>
      <c r="H24" s="46"/>
      <c r="I24" s="7"/>
    </row>
    <row r="25">
      <c r="A25" s="5" t="s">
        <v>3</v>
      </c>
      <c r="B25" s="71" t="s">
        <v>1296</v>
      </c>
      <c r="C25" s="25">
        <v>63.0</v>
      </c>
      <c r="D25" s="79" t="b">
        <v>0</v>
      </c>
      <c r="E25" s="67"/>
      <c r="F25" s="68"/>
      <c r="G25" s="7"/>
      <c r="H25" s="46"/>
      <c r="I25" s="7"/>
    </row>
    <row r="26">
      <c r="A26" s="5" t="s">
        <v>3</v>
      </c>
      <c r="B26" s="71" t="s">
        <v>1299</v>
      </c>
      <c r="C26" s="25">
        <v>69.0</v>
      </c>
      <c r="D26" s="79" t="b">
        <v>0</v>
      </c>
      <c r="E26" s="67"/>
      <c r="F26" s="68"/>
      <c r="G26" s="7"/>
      <c r="H26" s="46"/>
      <c r="I26" s="7"/>
    </row>
    <row r="27">
      <c r="A27" s="5" t="s">
        <v>141</v>
      </c>
      <c r="B27" s="71" t="s">
        <v>1302</v>
      </c>
      <c r="C27" s="25">
        <v>70.0</v>
      </c>
      <c r="D27" s="79" t="b">
        <v>0</v>
      </c>
      <c r="E27" s="67"/>
      <c r="F27" s="68"/>
      <c r="G27" s="7"/>
      <c r="H27" s="46"/>
      <c r="I27" s="7"/>
    </row>
    <row r="28">
      <c r="A28" s="5" t="s">
        <v>5</v>
      </c>
      <c r="B28" s="71" t="s">
        <v>1305</v>
      </c>
      <c r="C28" s="25">
        <v>73.0</v>
      </c>
      <c r="D28" s="79" t="b">
        <v>0</v>
      </c>
      <c r="E28" s="67"/>
      <c r="F28" s="68"/>
      <c r="G28" s="7"/>
      <c r="H28" s="46"/>
      <c r="I28" s="7"/>
    </row>
    <row r="29">
      <c r="A29" s="5" t="s">
        <v>5</v>
      </c>
      <c r="B29" s="71" t="s">
        <v>1308</v>
      </c>
      <c r="C29" s="25">
        <v>73.0</v>
      </c>
      <c r="D29" s="79" t="b">
        <v>0</v>
      </c>
      <c r="E29" s="67"/>
      <c r="F29" s="68"/>
      <c r="G29" s="7"/>
      <c r="H29" s="46"/>
      <c r="I29" s="7"/>
    </row>
    <row r="30">
      <c r="A30" s="5" t="s">
        <v>5</v>
      </c>
      <c r="B30" s="71" t="s">
        <v>1311</v>
      </c>
      <c r="C30" s="25">
        <v>73.0</v>
      </c>
      <c r="D30" s="79" t="b">
        <v>0</v>
      </c>
      <c r="E30" s="67"/>
      <c r="F30" s="68"/>
      <c r="G30" s="7"/>
      <c r="H30" s="46"/>
      <c r="I30" s="7"/>
    </row>
    <row r="31">
      <c r="A31" s="5" t="s">
        <v>5</v>
      </c>
      <c r="B31" s="71" t="s">
        <v>1314</v>
      </c>
      <c r="C31" s="25">
        <v>77.0</v>
      </c>
      <c r="D31" s="79" t="b">
        <v>1</v>
      </c>
      <c r="E31" s="67"/>
      <c r="F31" s="68"/>
      <c r="G31" s="7"/>
      <c r="H31" s="46"/>
      <c r="I31" s="7"/>
    </row>
    <row r="32">
      <c r="A32" s="5" t="s">
        <v>3</v>
      </c>
      <c r="B32" s="71" t="s">
        <v>1317</v>
      </c>
      <c r="C32" s="25">
        <v>83.0</v>
      </c>
      <c r="D32" s="79" t="b">
        <v>0</v>
      </c>
      <c r="E32" s="67"/>
      <c r="F32" s="68"/>
      <c r="G32" s="7"/>
      <c r="H32" s="46"/>
      <c r="I32" s="7"/>
    </row>
    <row r="33">
      <c r="A33" s="5" t="s">
        <v>5</v>
      </c>
      <c r="B33" s="71" t="s">
        <v>1320</v>
      </c>
      <c r="C33" s="25">
        <v>86.0</v>
      </c>
      <c r="D33" s="79" t="b">
        <v>0</v>
      </c>
      <c r="E33" s="67"/>
      <c r="F33" s="68"/>
      <c r="G33" s="7"/>
      <c r="H33" s="46"/>
      <c r="I33" s="7"/>
    </row>
    <row r="34">
      <c r="A34" s="5" t="s">
        <v>5</v>
      </c>
      <c r="B34" s="71" t="s">
        <v>1323</v>
      </c>
      <c r="C34" s="25">
        <v>88.0</v>
      </c>
      <c r="D34" s="79" t="b">
        <v>0</v>
      </c>
      <c r="E34" s="67"/>
      <c r="F34" s="68"/>
      <c r="G34" s="7"/>
      <c r="H34" s="46"/>
      <c r="I34" s="7"/>
    </row>
    <row r="35">
      <c r="A35" s="5" t="s">
        <v>3</v>
      </c>
      <c r="B35" s="71" t="s">
        <v>1326</v>
      </c>
      <c r="C35" s="25">
        <v>90.0</v>
      </c>
      <c r="D35" s="79" t="b">
        <v>0</v>
      </c>
      <c r="E35" s="67"/>
      <c r="F35" s="68"/>
      <c r="G35" s="7"/>
      <c r="H35" s="46"/>
      <c r="I35" s="7"/>
    </row>
    <row r="36">
      <c r="A36" s="5" t="s">
        <v>3</v>
      </c>
      <c r="B36" s="71" t="s">
        <v>1329</v>
      </c>
      <c r="C36" s="25">
        <v>92.0</v>
      </c>
      <c r="D36" s="79" t="b">
        <v>0</v>
      </c>
      <c r="E36" s="67"/>
      <c r="F36" s="68"/>
      <c r="G36" s="7"/>
      <c r="H36" s="46"/>
      <c r="I36" s="7"/>
    </row>
    <row r="37">
      <c r="A37" s="5" t="s">
        <v>3</v>
      </c>
      <c r="B37" s="71" t="s">
        <v>1332</v>
      </c>
      <c r="C37" s="25">
        <v>94.0</v>
      </c>
      <c r="D37" s="79" t="b">
        <v>1</v>
      </c>
      <c r="E37" s="75"/>
      <c r="F37" s="68"/>
      <c r="G37" s="5"/>
      <c r="H37" s="46"/>
      <c r="I37" s="5"/>
    </row>
    <row r="38">
      <c r="A38" s="5" t="s">
        <v>5</v>
      </c>
      <c r="B38" s="71" t="s">
        <v>1335</v>
      </c>
      <c r="C38" s="25">
        <v>97.0</v>
      </c>
      <c r="D38" s="79" t="b">
        <v>0</v>
      </c>
      <c r="E38" s="75"/>
      <c r="F38" s="68"/>
      <c r="G38" s="5"/>
      <c r="H38" s="46"/>
      <c r="I38" s="5"/>
    </row>
    <row r="39">
      <c r="A39" s="5" t="s">
        <v>5</v>
      </c>
      <c r="B39" s="71" t="s">
        <v>1338</v>
      </c>
      <c r="C39" s="25">
        <v>97.0</v>
      </c>
      <c r="D39" s="79" t="b">
        <v>0</v>
      </c>
      <c r="E39" s="75"/>
      <c r="F39" s="68"/>
      <c r="G39" s="5"/>
      <c r="H39" s="46"/>
      <c r="I39" s="5"/>
    </row>
    <row r="40">
      <c r="A40" s="5" t="s">
        <v>141</v>
      </c>
      <c r="B40" s="71" t="s">
        <v>1341</v>
      </c>
      <c r="C40" s="25">
        <v>98.0</v>
      </c>
      <c r="D40" s="79" t="b">
        <v>1</v>
      </c>
      <c r="E40" s="75"/>
      <c r="F40" s="68"/>
      <c r="G40" s="5"/>
      <c r="H40" s="46"/>
      <c r="I40" s="5"/>
    </row>
    <row r="41">
      <c r="A41" s="5" t="s">
        <v>4</v>
      </c>
      <c r="B41" s="71" t="s">
        <v>195</v>
      </c>
      <c r="C41" s="25">
        <v>90.0</v>
      </c>
      <c r="D41" s="79" t="b">
        <v>0</v>
      </c>
      <c r="E41" s="75"/>
      <c r="F41" s="68"/>
      <c r="G41" s="5"/>
      <c r="H41" s="46"/>
      <c r="I41" s="5"/>
    </row>
    <row r="42">
      <c r="A42" s="5"/>
      <c r="B42" s="71"/>
      <c r="C42" s="25"/>
      <c r="D42" s="5"/>
      <c r="E42" s="75"/>
      <c r="F42" s="68"/>
      <c r="G42" s="5"/>
      <c r="H42" s="46"/>
      <c r="I42" s="5"/>
    </row>
    <row r="43">
      <c r="A43" s="71"/>
      <c r="B43" s="71"/>
      <c r="C43" s="71"/>
      <c r="D43" s="71"/>
      <c r="E43" s="25"/>
      <c r="F43" s="68"/>
      <c r="G43" s="5"/>
      <c r="H43" s="46"/>
      <c r="I43" s="5"/>
    </row>
    <row r="44">
      <c r="A44" s="46"/>
      <c r="B44" s="46"/>
      <c r="C44" s="46"/>
      <c r="D44" s="71"/>
      <c r="E44" s="25"/>
      <c r="F44" s="68"/>
      <c r="G44" s="5"/>
      <c r="H44" s="46"/>
      <c r="I44" s="5"/>
    </row>
    <row r="45">
      <c r="A45" s="46"/>
      <c r="B45" s="46"/>
      <c r="C45" s="46"/>
      <c r="D45" s="5"/>
      <c r="E45" s="25"/>
      <c r="F45" s="68"/>
      <c r="G45" s="5"/>
      <c r="H45" s="46"/>
      <c r="I45" s="5"/>
    </row>
    <row r="46">
      <c r="A46" s="46"/>
      <c r="B46" s="46"/>
      <c r="C46" s="46"/>
      <c r="D46" s="5"/>
      <c r="E46" s="25"/>
      <c r="F46" s="68"/>
      <c r="G46" s="5"/>
      <c r="H46" s="46"/>
      <c r="I46" s="5"/>
    </row>
    <row r="47">
      <c r="A47" s="46"/>
      <c r="B47" s="46"/>
      <c r="C47" s="46"/>
      <c r="D47" s="5"/>
      <c r="E47" s="25"/>
      <c r="F47" s="68"/>
      <c r="G47" s="5"/>
      <c r="H47" s="46"/>
      <c r="I47" s="5"/>
    </row>
    <row r="48">
      <c r="A48" s="46"/>
      <c r="B48" s="46"/>
      <c r="C48" s="46"/>
      <c r="D48" s="5"/>
      <c r="E48" s="25"/>
      <c r="F48" s="68"/>
      <c r="G48" s="5"/>
      <c r="H48" s="46"/>
      <c r="I48" s="5"/>
    </row>
    <row r="49">
      <c r="A49" s="46"/>
      <c r="B49" s="46"/>
      <c r="C49" s="46"/>
      <c r="D49" s="5"/>
      <c r="E49" s="25"/>
      <c r="F49" s="68"/>
      <c r="G49" s="5"/>
      <c r="H49" s="46"/>
      <c r="I49" s="5"/>
    </row>
    <row r="50">
      <c r="A50" s="46"/>
      <c r="B50" s="46"/>
      <c r="C50" s="46"/>
      <c r="D50" s="5"/>
      <c r="E50" s="25"/>
      <c r="F50" s="68"/>
      <c r="G50" s="5"/>
      <c r="H50" s="46"/>
      <c r="I50" s="5"/>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2</v>
      </c>
      <c r="D2" s="17">
        <f t="shared" ref="D2:D6" si="2">C2/COUNTA(I$2:I1000)</f>
        <v>0.06666666667</v>
      </c>
      <c r="E2" s="77">
        <v>1.595776182E9</v>
      </c>
      <c r="F2" s="68">
        <f>IFERROR(__xludf.DUMMYFUNCTION("INDEX(SPLIT(E2, char(10)), 0, 1)/86400+date(1970,1,1)"),44038.631736111114)</f>
        <v>44038.63174</v>
      </c>
      <c r="G2" s="46" t="s">
        <v>1397</v>
      </c>
      <c r="H2" s="46" t="s">
        <v>1398</v>
      </c>
      <c r="I2" s="46" t="s">
        <v>11</v>
      </c>
    </row>
    <row r="3">
      <c r="A3" s="5" t="s">
        <v>11</v>
      </c>
      <c r="B3" s="5" t="s">
        <v>111</v>
      </c>
      <c r="C3" s="25">
        <f t="shared" si="1"/>
        <v>6</v>
      </c>
      <c r="D3" s="17">
        <f t="shared" si="2"/>
        <v>0.2</v>
      </c>
      <c r="E3" s="77">
        <v>1.595776333E9</v>
      </c>
      <c r="F3" s="68">
        <f>IFERROR(__xludf.DUMMYFUNCTION("INDEX(SPLIT(E3, char(10)), 0, 1)/86400+date(1970,1,1)"),44038.63348379629)</f>
        <v>44038.63348</v>
      </c>
      <c r="G3" s="46" t="s">
        <v>1399</v>
      </c>
      <c r="H3" s="46" t="s">
        <v>1400</v>
      </c>
      <c r="I3" s="46" t="s">
        <v>14</v>
      </c>
    </row>
    <row r="4">
      <c r="A4" s="5" t="s">
        <v>12</v>
      </c>
      <c r="B4" s="5" t="s">
        <v>114</v>
      </c>
      <c r="C4" s="25">
        <f t="shared" si="1"/>
        <v>6</v>
      </c>
      <c r="D4" s="17">
        <f t="shared" si="2"/>
        <v>0.2</v>
      </c>
      <c r="E4" s="77">
        <v>1.595776836E9</v>
      </c>
      <c r="F4" s="68">
        <f>IFERROR(__xludf.DUMMYFUNCTION("INDEX(SPLIT(E4, char(10)), 0, 1)/86400+date(1970,1,1)"),44038.63930555555)</f>
        <v>44038.63931</v>
      </c>
      <c r="G4" s="46" t="s">
        <v>1401</v>
      </c>
      <c r="H4" s="46" t="s">
        <v>1402</v>
      </c>
      <c r="I4" s="46" t="s">
        <v>11</v>
      </c>
    </row>
    <row r="5">
      <c r="A5" s="5" t="s">
        <v>13</v>
      </c>
      <c r="B5" s="5" t="s">
        <v>117</v>
      </c>
      <c r="C5" s="25">
        <f t="shared" si="1"/>
        <v>7</v>
      </c>
      <c r="D5" s="17">
        <f t="shared" si="2"/>
        <v>0.2333333333</v>
      </c>
      <c r="E5" s="77">
        <v>1.595777103E9</v>
      </c>
      <c r="F5" s="68">
        <f>IFERROR(__xludf.DUMMYFUNCTION("INDEX(SPLIT(E5, char(10)), 0, 1)/86400+date(1970,1,1)"),44038.64239583333)</f>
        <v>44038.6424</v>
      </c>
      <c r="G5" s="46" t="s">
        <v>1403</v>
      </c>
      <c r="H5" s="46" t="s">
        <v>1404</v>
      </c>
      <c r="I5" s="46" t="s">
        <v>14</v>
      </c>
    </row>
    <row r="6">
      <c r="A6" s="5" t="s">
        <v>14</v>
      </c>
      <c r="B6" s="5" t="s">
        <v>120</v>
      </c>
      <c r="C6" s="25">
        <f t="shared" si="1"/>
        <v>9</v>
      </c>
      <c r="D6" s="17">
        <f t="shared" si="2"/>
        <v>0.3</v>
      </c>
      <c r="E6" s="77">
        <v>1.595777211E9</v>
      </c>
      <c r="F6" s="68">
        <f>IFERROR(__xludf.DUMMYFUNCTION("INDEX(SPLIT(E6, char(10)), 0, 1)/86400+date(1970,1,1)"),44038.643645833334)</f>
        <v>44038.64365</v>
      </c>
      <c r="G6" s="46" t="s">
        <v>1405</v>
      </c>
      <c r="H6" s="46" t="s">
        <v>1406</v>
      </c>
      <c r="I6" s="46" t="s">
        <v>11</v>
      </c>
    </row>
    <row r="7">
      <c r="A7" s="5"/>
      <c r="B7" s="5" t="s">
        <v>10</v>
      </c>
      <c r="C7" s="23">
        <f t="shared" ref="C7:D7" si="3">SUM(C2:C6)</f>
        <v>30</v>
      </c>
      <c r="D7" s="70">
        <f t="shared" si="3"/>
        <v>1</v>
      </c>
      <c r="E7" s="77">
        <v>1.595777587E9</v>
      </c>
      <c r="F7" s="68">
        <f>IFERROR(__xludf.DUMMYFUNCTION("INDEX(SPLIT(E7, char(10)), 0, 1)/86400+date(1970,1,1)"),44038.647997685184)</f>
        <v>44038.648</v>
      </c>
      <c r="G7" s="46" t="s">
        <v>1407</v>
      </c>
      <c r="H7" s="46" t="s">
        <v>1408</v>
      </c>
      <c r="I7" s="46" t="s">
        <v>13</v>
      </c>
    </row>
    <row r="8">
      <c r="A8" s="71"/>
      <c r="B8" s="5" t="s">
        <v>15</v>
      </c>
      <c r="C8" s="25">
        <f t="shared" ref="C8:D8" si="4">SUM(C5:C6)</f>
        <v>16</v>
      </c>
      <c r="D8" s="17">
        <f t="shared" si="4"/>
        <v>0.5333333333</v>
      </c>
      <c r="E8" s="77">
        <v>1.595778167E9</v>
      </c>
      <c r="F8" s="68">
        <f>IFERROR(__xludf.DUMMYFUNCTION("INDEX(SPLIT(E8, char(10)), 0, 1)/86400+date(1970,1,1)"),44038.654710648145)</f>
        <v>44038.65471</v>
      </c>
      <c r="G8" s="46" t="s">
        <v>1409</v>
      </c>
      <c r="H8" s="46" t="s">
        <v>1410</v>
      </c>
      <c r="I8" s="46" t="s">
        <v>12</v>
      </c>
    </row>
    <row r="9">
      <c r="A9" s="71"/>
      <c r="B9" s="5" t="s">
        <v>127</v>
      </c>
      <c r="C9" s="25">
        <f>SUM(C6:C7)</f>
        <v>39</v>
      </c>
      <c r="D9" s="17">
        <f>SUM(D5:D6) + D2</f>
        <v>0.6</v>
      </c>
      <c r="E9" s="77">
        <v>1.595778259E9</v>
      </c>
      <c r="F9" s="68">
        <f>IFERROR(__xludf.DUMMYFUNCTION("INDEX(SPLIT(E9, char(10)), 0, 1)/86400+date(1970,1,1)"),44038.65577546296)</f>
        <v>44038.65578</v>
      </c>
      <c r="G9" s="46" t="s">
        <v>1411</v>
      </c>
      <c r="H9" s="46" t="s">
        <v>1412</v>
      </c>
      <c r="I9" s="46" t="s">
        <v>14</v>
      </c>
    </row>
    <row r="10">
      <c r="A10" s="71"/>
      <c r="B10" s="71"/>
      <c r="C10" s="71"/>
      <c r="D10" s="71"/>
      <c r="E10" s="77">
        <v>1.59577855E9</v>
      </c>
      <c r="F10" s="68">
        <f>IFERROR(__xludf.DUMMYFUNCTION("INDEX(SPLIT(E10, char(10)), 0, 1)/86400+date(1970,1,1)"),44038.65914351852)</f>
        <v>44038.65914</v>
      </c>
      <c r="G10" s="46" t="s">
        <v>498</v>
      </c>
      <c r="H10" s="46" t="s">
        <v>1413</v>
      </c>
      <c r="I10" s="46" t="s">
        <v>12</v>
      </c>
    </row>
    <row r="11">
      <c r="A11" s="71"/>
      <c r="B11" s="71"/>
      <c r="C11" s="71"/>
      <c r="D11" s="71"/>
      <c r="E11" s="77">
        <v>1.595778697E9</v>
      </c>
      <c r="F11" s="68">
        <f>IFERROR(__xludf.DUMMYFUNCTION("INDEX(SPLIT(E11, char(10)), 0, 1)/86400+date(1970,1,1)"),44038.66084490741)</f>
        <v>44038.66084</v>
      </c>
      <c r="G11" s="46" t="s">
        <v>1414</v>
      </c>
      <c r="H11" s="46" t="s">
        <v>1415</v>
      </c>
      <c r="I11" s="46" t="s">
        <v>93</v>
      </c>
    </row>
    <row r="12">
      <c r="A12" s="13" t="s">
        <v>134</v>
      </c>
      <c r="B12" s="85" t="s">
        <v>1416</v>
      </c>
      <c r="C12" s="71"/>
      <c r="D12" s="71"/>
      <c r="E12" s="77">
        <v>1.595778883E9</v>
      </c>
      <c r="F12" s="68">
        <f>IFERROR(__xludf.DUMMYFUNCTION("INDEX(SPLIT(E12, char(10)), 0, 1)/86400+date(1970,1,1)"),44038.662997685184)</f>
        <v>44038.663</v>
      </c>
      <c r="G12" s="46" t="s">
        <v>1297</v>
      </c>
      <c r="H12" s="46" t="s">
        <v>1417</v>
      </c>
      <c r="I12" s="46" t="s">
        <v>12</v>
      </c>
    </row>
    <row r="13">
      <c r="A13" s="13" t="s">
        <v>138</v>
      </c>
      <c r="B13" s="71"/>
      <c r="C13" s="13" t="s">
        <v>101</v>
      </c>
      <c r="D13" s="13" t="s">
        <v>102</v>
      </c>
      <c r="E13" s="77">
        <v>1.595779532E9</v>
      </c>
      <c r="F13" s="68">
        <f>IFERROR(__xludf.DUMMYFUNCTION("INDEX(SPLIT(E13, char(10)), 0, 1)/86400+date(1970,1,1)"),44038.67050925926)</f>
        <v>44038.67051</v>
      </c>
      <c r="G13" s="46" t="s">
        <v>1418</v>
      </c>
      <c r="H13" s="46" t="s">
        <v>1419</v>
      </c>
      <c r="I13" s="46" t="s">
        <v>14</v>
      </c>
    </row>
    <row r="14">
      <c r="A14" s="5" t="s">
        <v>141</v>
      </c>
      <c r="B14" s="5" t="s">
        <v>142</v>
      </c>
      <c r="C14" s="23">
        <f t="shared" ref="C14:C17" si="5">COUNTIF($A$19:$A1000, A14)</f>
        <v>3</v>
      </c>
      <c r="D14" s="17">
        <f>IFERROR(__xludf.DUMMYFUNCTION("IF(C14, COUNTIF(FILTER($D$19:$D1000, $A$19:$A1000=A14), TRUE)/C14, 0)"),0.6666666666666666)</f>
        <v>0.6666666667</v>
      </c>
      <c r="E14" s="77">
        <v>1.595779796E9</v>
      </c>
      <c r="F14" s="68">
        <f>IFERROR(__xludf.DUMMYFUNCTION("INDEX(SPLIT(E14, char(10)), 0, 1)/86400+date(1970,1,1)"),44038.67356481482)</f>
        <v>44038.67356</v>
      </c>
      <c r="G14" s="46" t="s">
        <v>1420</v>
      </c>
      <c r="H14" s="46" t="s">
        <v>1421</v>
      </c>
      <c r="I14" s="46" t="s">
        <v>93</v>
      </c>
    </row>
    <row r="15">
      <c r="A15" s="5" t="s">
        <v>3</v>
      </c>
      <c r="B15" s="5" t="s">
        <v>145</v>
      </c>
      <c r="C15" s="23">
        <f t="shared" si="5"/>
        <v>7</v>
      </c>
      <c r="D15" s="17">
        <f>IFERROR(__xludf.DUMMYFUNCTION("IF(C15, COUNTIF(FILTER($D$19:$D1000, $A$19:$A1000=A15), TRUE)/C15, 0)"),0.14285714285714285)</f>
        <v>0.1428571429</v>
      </c>
      <c r="E15" s="77">
        <v>1.59578015E9</v>
      </c>
      <c r="F15" s="68">
        <f>IFERROR(__xludf.DUMMYFUNCTION("INDEX(SPLIT(E15, char(10)), 0, 1)/86400+date(1970,1,1)"),44038.67766203704)</f>
        <v>44038.67766</v>
      </c>
      <c r="G15" s="46" t="s">
        <v>1422</v>
      </c>
      <c r="H15" s="46" t="s">
        <v>1423</v>
      </c>
      <c r="I15" s="46" t="s">
        <v>12</v>
      </c>
    </row>
    <row r="16">
      <c r="A16" s="5" t="s">
        <v>4</v>
      </c>
      <c r="B16" s="5" t="s">
        <v>148</v>
      </c>
      <c r="C16" s="23">
        <f t="shared" si="5"/>
        <v>4</v>
      </c>
      <c r="D16" s="17">
        <f>IFERROR(__xludf.DUMMYFUNCTION("IF(C16, COUNTIF(FILTER($D$19:$D1000, $A$19:$A1000=A16), TRUE)/C16, 0)"),0.25)</f>
        <v>0.25</v>
      </c>
      <c r="E16" s="77">
        <v>1.59578041E9</v>
      </c>
      <c r="F16" s="68">
        <f>IFERROR(__xludf.DUMMYFUNCTION("INDEX(SPLIT(E16, char(10)), 0, 1)/86400+date(1970,1,1)"),44038.6806712963)</f>
        <v>44038.68067</v>
      </c>
      <c r="G16" s="46" t="s">
        <v>1424</v>
      </c>
      <c r="H16" s="46" t="s">
        <v>1425</v>
      </c>
      <c r="I16" s="46" t="s">
        <v>11</v>
      </c>
    </row>
    <row r="17">
      <c r="A17" s="5" t="s">
        <v>5</v>
      </c>
      <c r="B17" s="5" t="s">
        <v>151</v>
      </c>
      <c r="C17" s="23">
        <f t="shared" si="5"/>
        <v>9</v>
      </c>
      <c r="D17" s="17">
        <f>IFERROR(__xludf.DUMMYFUNCTION("IF(C17, COUNTIF(FILTER($D$19:$D1000, $A$19:$A1000=A17), TRUE)/C17, 0)"),0.3333333333333333)</f>
        <v>0.3333333333</v>
      </c>
      <c r="E17" s="77">
        <v>1.595780749E9</v>
      </c>
      <c r="F17" s="68">
        <f>IFERROR(__xludf.DUMMYFUNCTION("INDEX(SPLIT(E17, char(10)), 0, 1)/86400+date(1970,1,1)"),44038.684594907405)</f>
        <v>44038.68459</v>
      </c>
      <c r="G17" s="46" t="s">
        <v>1426</v>
      </c>
      <c r="H17" s="46" t="s">
        <v>1427</v>
      </c>
      <c r="I17" s="46" t="s">
        <v>12</v>
      </c>
    </row>
    <row r="18">
      <c r="A18" s="71"/>
      <c r="B18" s="13" t="s">
        <v>6</v>
      </c>
      <c r="C18" s="23">
        <f>SUM(C14:C17)</f>
        <v>23</v>
      </c>
      <c r="D18" s="17">
        <f>COUNTIF($D$19:$D1000, TRUE)/SUM($C$14:$C$17)</f>
        <v>0.3043478261</v>
      </c>
      <c r="E18" s="77">
        <v>1.595780879E9</v>
      </c>
      <c r="F18" s="68">
        <f>IFERROR(__xludf.DUMMYFUNCTION("INDEX(SPLIT(E18, char(10)), 0, 1)/86400+date(1970,1,1)"),44038.68609953704)</f>
        <v>44038.6861</v>
      </c>
      <c r="G18" s="46" t="s">
        <v>1428</v>
      </c>
      <c r="H18" s="46" t="s">
        <v>1429</v>
      </c>
      <c r="I18" s="46" t="s">
        <v>14</v>
      </c>
    </row>
    <row r="19">
      <c r="A19" s="5" t="s">
        <v>4</v>
      </c>
      <c r="B19" s="5" t="s">
        <v>161</v>
      </c>
      <c r="C19" s="25">
        <v>1.0</v>
      </c>
      <c r="D19" s="79" t="b">
        <v>0</v>
      </c>
      <c r="E19" s="77">
        <v>1.595780971E9</v>
      </c>
      <c r="F19" s="68">
        <f>IFERROR(__xludf.DUMMYFUNCTION("INDEX(SPLIT(E19, char(10)), 0, 1)/86400+date(1970,1,1)"),44038.68716435185)</f>
        <v>44038.68716</v>
      </c>
      <c r="G19" s="46" t="s">
        <v>1384</v>
      </c>
      <c r="H19" s="46" t="s">
        <v>1430</v>
      </c>
      <c r="I19" s="46" t="s">
        <v>11</v>
      </c>
    </row>
    <row r="20">
      <c r="A20" s="5" t="s">
        <v>3</v>
      </c>
      <c r="B20" s="5" t="s">
        <v>1283</v>
      </c>
      <c r="C20" s="25">
        <v>9.0</v>
      </c>
      <c r="D20" s="79" t="b">
        <v>0</v>
      </c>
      <c r="E20" s="77">
        <v>1.595781133E9</v>
      </c>
      <c r="F20" s="68">
        <f>IFERROR(__xludf.DUMMYFUNCTION("INDEX(SPLIT(E20, char(10)), 0, 1)/86400+date(1970,1,1)"),44038.689039351855)</f>
        <v>44038.68904</v>
      </c>
      <c r="G20" s="46" t="s">
        <v>1431</v>
      </c>
      <c r="H20" s="46" t="s">
        <v>1432</v>
      </c>
      <c r="I20" s="46" t="s">
        <v>14</v>
      </c>
    </row>
    <row r="21">
      <c r="A21" s="5" t="s">
        <v>141</v>
      </c>
      <c r="B21" s="5" t="s">
        <v>1286</v>
      </c>
      <c r="C21" s="25">
        <v>33.0</v>
      </c>
      <c r="D21" s="79" t="b">
        <v>1</v>
      </c>
      <c r="E21" s="77">
        <v>1.595781223E9</v>
      </c>
      <c r="F21" s="68">
        <f>IFERROR(__xludf.DUMMYFUNCTION("INDEX(SPLIT(E21, char(10)), 0, 1)/86400+date(1970,1,1)"),44038.69008101852)</f>
        <v>44038.69008</v>
      </c>
      <c r="G21" s="46" t="s">
        <v>1433</v>
      </c>
      <c r="H21" s="46" t="s">
        <v>1434</v>
      </c>
      <c r="I21" s="46" t="s">
        <v>14</v>
      </c>
    </row>
    <row r="22">
      <c r="A22" s="5" t="s">
        <v>4</v>
      </c>
      <c r="B22" s="5" t="s">
        <v>167</v>
      </c>
      <c r="C22" s="25">
        <v>45.0</v>
      </c>
      <c r="D22" s="79" t="b">
        <v>0</v>
      </c>
      <c r="E22" s="77">
        <v>1.595781333E9</v>
      </c>
      <c r="F22" s="68">
        <f>IFERROR(__xludf.DUMMYFUNCTION("INDEX(SPLIT(E22, char(10)), 0, 1)/86400+date(1970,1,1)"),44038.691354166665)</f>
        <v>44038.69135</v>
      </c>
      <c r="G22" s="46" t="s">
        <v>1435</v>
      </c>
      <c r="H22" s="46" t="s">
        <v>1436</v>
      </c>
      <c r="I22" s="46" t="s">
        <v>13</v>
      </c>
    </row>
    <row r="23">
      <c r="A23" s="5" t="s">
        <v>4</v>
      </c>
      <c r="B23" s="5" t="s">
        <v>170</v>
      </c>
      <c r="C23" s="25">
        <v>45.0</v>
      </c>
      <c r="D23" s="79" t="b">
        <v>0</v>
      </c>
      <c r="E23" s="77">
        <v>1.595781438E9</v>
      </c>
      <c r="F23" s="68">
        <f>IFERROR(__xludf.DUMMYFUNCTION("INDEX(SPLIT(E23, char(10)), 0, 1)/86400+date(1970,1,1)"),44038.69256944444)</f>
        <v>44038.69257</v>
      </c>
      <c r="G23" s="46" t="s">
        <v>1437</v>
      </c>
      <c r="H23" s="46" t="s">
        <v>1438</v>
      </c>
      <c r="I23" s="46" t="s">
        <v>14</v>
      </c>
    </row>
    <row r="24">
      <c r="A24" s="5" t="s">
        <v>5</v>
      </c>
      <c r="B24" s="5" t="s">
        <v>1293</v>
      </c>
      <c r="C24" s="25">
        <v>58.0</v>
      </c>
      <c r="D24" s="79" t="b">
        <v>0</v>
      </c>
      <c r="E24" s="77">
        <v>1.595781722E9</v>
      </c>
      <c r="F24" s="68">
        <f>IFERROR(__xludf.DUMMYFUNCTION("INDEX(SPLIT(E24, char(10)), 0, 1)/86400+date(1970,1,1)"),44038.695856481485)</f>
        <v>44038.69586</v>
      </c>
      <c r="G24" s="46" t="s">
        <v>1439</v>
      </c>
      <c r="H24" s="46" t="s">
        <v>1440</v>
      </c>
      <c r="I24" s="46" t="s">
        <v>11</v>
      </c>
    </row>
    <row r="25">
      <c r="A25" s="5" t="s">
        <v>3</v>
      </c>
      <c r="B25" s="71" t="s">
        <v>1296</v>
      </c>
      <c r="C25" s="25">
        <v>63.0</v>
      </c>
      <c r="D25" s="79" t="b">
        <v>0</v>
      </c>
      <c r="E25" s="77">
        <v>1.595781879E9</v>
      </c>
      <c r="F25" s="68">
        <f>IFERROR(__xludf.DUMMYFUNCTION("INDEX(SPLIT(E25, char(10)), 0, 1)/86400+date(1970,1,1)"),44038.69767361111)</f>
        <v>44038.69767</v>
      </c>
      <c r="G25" s="46" t="s">
        <v>1441</v>
      </c>
      <c r="H25" s="46" t="s">
        <v>1442</v>
      </c>
      <c r="I25" s="46" t="s">
        <v>13</v>
      </c>
    </row>
    <row r="26">
      <c r="A26" s="5" t="s">
        <v>3</v>
      </c>
      <c r="B26" s="71" t="s">
        <v>1299</v>
      </c>
      <c r="C26" s="25">
        <v>69.0</v>
      </c>
      <c r="D26" s="79" t="b">
        <v>0</v>
      </c>
      <c r="E26" s="77">
        <v>1.595782033E9</v>
      </c>
      <c r="F26" s="68">
        <f>IFERROR(__xludf.DUMMYFUNCTION("INDEX(SPLIT(E26, char(10)), 0, 1)/86400+date(1970,1,1)"),44038.69945601852)</f>
        <v>44038.69946</v>
      </c>
      <c r="G26" s="46" t="s">
        <v>1443</v>
      </c>
      <c r="H26" s="46" t="s">
        <v>1444</v>
      </c>
      <c r="I26" s="46" t="s">
        <v>14</v>
      </c>
    </row>
    <row r="27">
      <c r="A27" s="5" t="s">
        <v>141</v>
      </c>
      <c r="B27" s="71" t="s">
        <v>1302</v>
      </c>
      <c r="C27" s="25">
        <v>70.0</v>
      </c>
      <c r="D27" s="79" t="b">
        <v>0</v>
      </c>
      <c r="E27" s="77">
        <v>1.595782335E9</v>
      </c>
      <c r="F27" s="68">
        <f>IFERROR(__xludf.DUMMYFUNCTION("INDEX(SPLIT(E27, char(10)), 0, 1)/86400+date(1970,1,1)"),44038.702951388885)</f>
        <v>44038.70295</v>
      </c>
      <c r="G27" s="46" t="s">
        <v>1445</v>
      </c>
      <c r="H27" s="46" t="s">
        <v>1446</v>
      </c>
      <c r="I27" s="46" t="s">
        <v>13</v>
      </c>
    </row>
    <row r="28">
      <c r="A28" s="5" t="s">
        <v>5</v>
      </c>
      <c r="B28" s="71" t="s">
        <v>1305</v>
      </c>
      <c r="C28" s="25">
        <v>73.0</v>
      </c>
      <c r="D28" s="79" t="b">
        <v>0</v>
      </c>
      <c r="E28" s="77">
        <v>1.595782519E9</v>
      </c>
      <c r="F28" s="68">
        <f>IFERROR(__xludf.DUMMYFUNCTION("INDEX(SPLIT(E28, char(10)), 0, 1)/86400+date(1970,1,1)"),44038.70508101852)</f>
        <v>44038.70508</v>
      </c>
      <c r="G28" s="46" t="s">
        <v>1447</v>
      </c>
      <c r="H28" s="46" t="s">
        <v>1448</v>
      </c>
      <c r="I28" s="46" t="s">
        <v>13</v>
      </c>
    </row>
    <row r="29">
      <c r="A29" s="5" t="s">
        <v>5</v>
      </c>
      <c r="B29" s="71" t="s">
        <v>1308</v>
      </c>
      <c r="C29" s="25">
        <v>73.0</v>
      </c>
      <c r="D29" s="79" t="b">
        <v>0</v>
      </c>
      <c r="E29" s="77">
        <v>1.595782618E9</v>
      </c>
      <c r="F29" s="68">
        <f>IFERROR(__xludf.DUMMYFUNCTION("INDEX(SPLIT(E29, char(10)), 0, 1)/86400+date(1970,1,1)"),44038.70622685185)</f>
        <v>44038.70623</v>
      </c>
      <c r="G29" s="46" t="s">
        <v>1449</v>
      </c>
      <c r="H29" s="46" t="s">
        <v>1450</v>
      </c>
      <c r="I29" s="46" t="s">
        <v>13</v>
      </c>
    </row>
    <row r="30">
      <c r="A30" s="5" t="s">
        <v>5</v>
      </c>
      <c r="B30" s="71" t="s">
        <v>1311</v>
      </c>
      <c r="C30" s="25">
        <v>73.0</v>
      </c>
      <c r="D30" s="79" t="b">
        <v>0</v>
      </c>
      <c r="E30" s="77">
        <v>1.59578273E9</v>
      </c>
      <c r="F30" s="68">
        <f>IFERROR(__xludf.DUMMYFUNCTION("INDEX(SPLIT(E30, char(10)), 0, 1)/86400+date(1970,1,1)"),44038.70752314814)</f>
        <v>44038.70752</v>
      </c>
      <c r="G30" s="46" t="s">
        <v>1451</v>
      </c>
      <c r="H30" s="46" t="s">
        <v>1452</v>
      </c>
      <c r="I30" s="46" t="s">
        <v>12</v>
      </c>
    </row>
    <row r="31">
      <c r="A31" s="5" t="s">
        <v>5</v>
      </c>
      <c r="B31" s="71" t="s">
        <v>1314</v>
      </c>
      <c r="C31" s="25">
        <v>77.0</v>
      </c>
      <c r="D31" s="79" t="b">
        <v>1</v>
      </c>
      <c r="E31" s="77">
        <v>1.595782855E9</v>
      </c>
      <c r="F31" s="68">
        <f>IFERROR(__xludf.DUMMYFUNCTION("INDEX(SPLIT(E31, char(10)), 0, 1)/86400+date(1970,1,1)"),44038.708969907406)</f>
        <v>44038.70897</v>
      </c>
      <c r="G31" s="46" t="s">
        <v>1453</v>
      </c>
      <c r="H31" s="46" t="s">
        <v>1454</v>
      </c>
      <c r="I31" s="46" t="s">
        <v>13</v>
      </c>
    </row>
    <row r="32">
      <c r="A32" s="5" t="s">
        <v>3</v>
      </c>
      <c r="B32" s="71" t="s">
        <v>1317</v>
      </c>
      <c r="C32" s="25">
        <v>83.0</v>
      </c>
      <c r="D32" s="79" t="b">
        <v>0</v>
      </c>
      <c r="E32" s="77"/>
      <c r="F32" s="68"/>
      <c r="G32" s="46"/>
      <c r="H32" s="46"/>
      <c r="I32" s="7"/>
    </row>
    <row r="33">
      <c r="A33" s="5" t="s">
        <v>5</v>
      </c>
      <c r="B33" s="71" t="s">
        <v>1320</v>
      </c>
      <c r="C33" s="25">
        <v>86.0</v>
      </c>
      <c r="D33" s="79" t="b">
        <v>1</v>
      </c>
      <c r="E33" s="77"/>
      <c r="F33" s="68"/>
      <c r="G33" s="46"/>
      <c r="H33" s="46"/>
      <c r="I33" s="7"/>
    </row>
    <row r="34">
      <c r="A34" s="5" t="s">
        <v>5</v>
      </c>
      <c r="B34" s="71" t="s">
        <v>1323</v>
      </c>
      <c r="C34" s="25">
        <v>88.0</v>
      </c>
      <c r="D34" s="79" t="b">
        <v>0</v>
      </c>
      <c r="E34" s="67"/>
      <c r="F34" s="68"/>
      <c r="G34" s="7"/>
      <c r="H34" s="46"/>
      <c r="I34" s="7"/>
    </row>
    <row r="35">
      <c r="A35" s="5" t="s">
        <v>3</v>
      </c>
      <c r="B35" s="71" t="s">
        <v>1326</v>
      </c>
      <c r="C35" s="25">
        <v>90.0</v>
      </c>
      <c r="D35" s="79" t="b">
        <v>0</v>
      </c>
      <c r="E35" s="67"/>
      <c r="F35" s="68"/>
      <c r="G35" s="7"/>
      <c r="H35" s="46"/>
      <c r="I35" s="7"/>
    </row>
    <row r="36">
      <c r="A36" s="5" t="s">
        <v>3</v>
      </c>
      <c r="B36" s="71" t="s">
        <v>1329</v>
      </c>
      <c r="C36" s="25">
        <v>92.0</v>
      </c>
      <c r="D36" s="79" t="b">
        <v>0</v>
      </c>
      <c r="E36" s="67"/>
      <c r="F36" s="68"/>
      <c r="G36" s="7"/>
      <c r="H36" s="46"/>
      <c r="I36" s="7"/>
    </row>
    <row r="37">
      <c r="A37" s="5" t="s">
        <v>3</v>
      </c>
      <c r="B37" s="71" t="s">
        <v>1332</v>
      </c>
      <c r="C37" s="25">
        <v>94.0</v>
      </c>
      <c r="D37" s="79" t="b">
        <v>1</v>
      </c>
      <c r="E37" s="75"/>
      <c r="F37" s="68"/>
      <c r="G37" s="5"/>
      <c r="H37" s="46"/>
      <c r="I37" s="5"/>
    </row>
    <row r="38">
      <c r="A38" s="5" t="s">
        <v>5</v>
      </c>
      <c r="B38" s="71" t="s">
        <v>1335</v>
      </c>
      <c r="C38" s="25">
        <v>97.0</v>
      </c>
      <c r="D38" s="79" t="b">
        <v>1</v>
      </c>
      <c r="E38" s="75"/>
      <c r="F38" s="68"/>
      <c r="G38" s="5"/>
      <c r="H38" s="46"/>
      <c r="I38" s="5"/>
    </row>
    <row r="39">
      <c r="A39" s="5" t="s">
        <v>5</v>
      </c>
      <c r="B39" s="71" t="s">
        <v>1338</v>
      </c>
      <c r="C39" s="25">
        <v>97.0</v>
      </c>
      <c r="D39" s="79" t="b">
        <v>0</v>
      </c>
      <c r="E39" s="75"/>
      <c r="F39" s="68"/>
      <c r="G39" s="5"/>
      <c r="H39" s="46"/>
      <c r="I39" s="5"/>
    </row>
    <row r="40">
      <c r="A40" s="5" t="s">
        <v>141</v>
      </c>
      <c r="B40" s="71" t="s">
        <v>1341</v>
      </c>
      <c r="C40" s="25">
        <v>98.0</v>
      </c>
      <c r="D40" s="79" t="b">
        <v>1</v>
      </c>
      <c r="E40" s="75"/>
      <c r="F40" s="68"/>
      <c r="G40" s="5"/>
      <c r="H40" s="46"/>
      <c r="I40" s="5"/>
    </row>
    <row r="41">
      <c r="A41" s="5" t="s">
        <v>4</v>
      </c>
      <c r="B41" s="71" t="s">
        <v>195</v>
      </c>
      <c r="C41" s="25">
        <v>90.0</v>
      </c>
      <c r="D41" s="79" t="b">
        <v>1</v>
      </c>
      <c r="E41" s="75"/>
      <c r="F41" s="68"/>
      <c r="G41" s="5"/>
      <c r="H41" s="46"/>
      <c r="I41" s="5"/>
    </row>
    <row r="42">
      <c r="A42" s="5"/>
      <c r="B42" s="71"/>
      <c r="C42" s="25"/>
      <c r="D42" s="5"/>
      <c r="E42" s="75"/>
      <c r="F42" s="68"/>
      <c r="G42" s="5"/>
      <c r="H42" s="46"/>
      <c r="I42" s="5"/>
    </row>
    <row r="43">
      <c r="A43" s="71"/>
      <c r="B43" s="71"/>
      <c r="C43" s="71"/>
      <c r="D43" s="71"/>
      <c r="E43" s="25"/>
      <c r="F43" s="68"/>
      <c r="G43" s="5"/>
      <c r="H43" s="46"/>
      <c r="I43" s="5"/>
    </row>
    <row r="44">
      <c r="A44" s="46"/>
      <c r="B44" s="46"/>
      <c r="C44" s="46"/>
      <c r="D44" s="71"/>
      <c r="E44" s="25"/>
      <c r="F44" s="68"/>
      <c r="G44" s="5"/>
      <c r="H44" s="46"/>
      <c r="I44" s="5"/>
    </row>
    <row r="45">
      <c r="A45" s="46"/>
      <c r="B45" s="46"/>
      <c r="C45" s="46"/>
      <c r="D45" s="5"/>
      <c r="E45" s="25"/>
      <c r="F45" s="68"/>
      <c r="G45" s="5"/>
      <c r="H45" s="46"/>
      <c r="I45" s="5"/>
    </row>
    <row r="46">
      <c r="A46" s="46"/>
      <c r="B46" s="46"/>
      <c r="C46" s="46"/>
      <c r="D46" s="5"/>
      <c r="E46" s="25"/>
      <c r="F46" s="68"/>
      <c r="G46" s="5"/>
      <c r="H46" s="46"/>
      <c r="I46" s="5"/>
    </row>
    <row r="47">
      <c r="A47" s="46"/>
      <c r="B47" s="46"/>
      <c r="C47" s="46"/>
      <c r="D47" s="5"/>
      <c r="E47" s="25"/>
      <c r="F47" s="68"/>
      <c r="G47" s="5"/>
      <c r="H47" s="46"/>
      <c r="I47" s="5"/>
    </row>
    <row r="48">
      <c r="A48" s="46"/>
      <c r="B48" s="46"/>
      <c r="C48" s="46"/>
      <c r="D48" s="5"/>
      <c r="E48" s="25"/>
      <c r="F48" s="68"/>
      <c r="G48" s="5"/>
      <c r="H48" s="46"/>
      <c r="I48" s="5"/>
    </row>
    <row r="49">
      <c r="A49" s="46"/>
      <c r="B49" s="46"/>
      <c r="C49" s="46"/>
      <c r="D49" s="5"/>
      <c r="E49" s="25"/>
      <c r="F49" s="68"/>
      <c r="G49" s="5"/>
      <c r="H49" s="46"/>
      <c r="I49" s="5"/>
    </row>
    <row r="50">
      <c r="A50" s="46"/>
      <c r="B50" s="46"/>
      <c r="C50" s="46"/>
      <c r="D50" s="5"/>
      <c r="E50" s="25"/>
      <c r="F50" s="68"/>
      <c r="G50" s="5"/>
      <c r="H50" s="46"/>
      <c r="I50" s="5"/>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4</v>
      </c>
      <c r="D2" s="17">
        <f t="shared" ref="D2:D6" si="2">C2/COUNTA(I$2:I1000)</f>
        <v>0.1142857143</v>
      </c>
      <c r="E2" s="77">
        <v>1.595775781E9</v>
      </c>
      <c r="F2" s="78">
        <v>44038.62709490741</v>
      </c>
      <c r="G2" s="46" t="s">
        <v>576</v>
      </c>
      <c r="H2" s="46" t="s">
        <v>1455</v>
      </c>
      <c r="I2" s="46" t="s">
        <v>14</v>
      </c>
    </row>
    <row r="3">
      <c r="A3" s="5" t="s">
        <v>11</v>
      </c>
      <c r="B3" s="5" t="s">
        <v>111</v>
      </c>
      <c r="C3" s="25">
        <f t="shared" si="1"/>
        <v>1</v>
      </c>
      <c r="D3" s="17">
        <f t="shared" si="2"/>
        <v>0.02857142857</v>
      </c>
      <c r="E3" s="77">
        <v>1.595776098E9</v>
      </c>
      <c r="F3" s="78">
        <v>44038.63076388889</v>
      </c>
      <c r="G3" s="46" t="s">
        <v>1456</v>
      </c>
      <c r="H3" s="46" t="s">
        <v>1457</v>
      </c>
      <c r="I3" s="46" t="s">
        <v>13</v>
      </c>
    </row>
    <row r="4">
      <c r="A4" s="5" t="s">
        <v>12</v>
      </c>
      <c r="B4" s="5" t="s">
        <v>114</v>
      </c>
      <c r="C4" s="25">
        <f t="shared" si="1"/>
        <v>5</v>
      </c>
      <c r="D4" s="17">
        <f t="shared" si="2"/>
        <v>0.1428571429</v>
      </c>
      <c r="E4" s="77">
        <v>1.595776232E9</v>
      </c>
      <c r="F4" s="78">
        <v>44038.632314814815</v>
      </c>
      <c r="G4" s="46" t="s">
        <v>1458</v>
      </c>
      <c r="H4" s="46" t="s">
        <v>1459</v>
      </c>
      <c r="I4" s="46" t="s">
        <v>14</v>
      </c>
    </row>
    <row r="5">
      <c r="A5" s="5" t="s">
        <v>13</v>
      </c>
      <c r="B5" s="5" t="s">
        <v>117</v>
      </c>
      <c r="C5" s="25">
        <f t="shared" si="1"/>
        <v>10</v>
      </c>
      <c r="D5" s="17">
        <f t="shared" si="2"/>
        <v>0.2857142857</v>
      </c>
      <c r="E5" s="77">
        <v>1.595776508E9</v>
      </c>
      <c r="F5" s="78">
        <v>44038.63550925926</v>
      </c>
      <c r="G5" s="46" t="s">
        <v>1460</v>
      </c>
      <c r="H5" s="46" t="s">
        <v>1461</v>
      </c>
      <c r="I5" s="46" t="s">
        <v>14</v>
      </c>
    </row>
    <row r="6">
      <c r="A6" s="5" t="s">
        <v>14</v>
      </c>
      <c r="B6" s="5" t="s">
        <v>120</v>
      </c>
      <c r="C6" s="25">
        <f t="shared" si="1"/>
        <v>15</v>
      </c>
      <c r="D6" s="17">
        <f t="shared" si="2"/>
        <v>0.4285714286</v>
      </c>
      <c r="E6" s="77">
        <v>1.595776883E9</v>
      </c>
      <c r="F6" s="78">
        <v>44038.63984953704</v>
      </c>
      <c r="G6" s="46" t="s">
        <v>1462</v>
      </c>
      <c r="H6" s="46" t="s">
        <v>1463</v>
      </c>
      <c r="I6" s="46" t="s">
        <v>14</v>
      </c>
    </row>
    <row r="7">
      <c r="A7" s="5"/>
      <c r="B7" s="5" t="s">
        <v>10</v>
      </c>
      <c r="C7" s="23">
        <f t="shared" ref="C7:D7" si="3">SUM(C2:C6)</f>
        <v>35</v>
      </c>
      <c r="D7" s="70">
        <f t="shared" si="3"/>
        <v>1</v>
      </c>
      <c r="E7" s="77">
        <v>1.595777136E9</v>
      </c>
      <c r="F7" s="78">
        <v>44038.64277777778</v>
      </c>
      <c r="G7" s="46" t="s">
        <v>1464</v>
      </c>
      <c r="H7" s="46" t="s">
        <v>1465</v>
      </c>
      <c r="I7" s="46" t="s">
        <v>11</v>
      </c>
    </row>
    <row r="8">
      <c r="A8" s="71"/>
      <c r="B8" s="5" t="s">
        <v>15</v>
      </c>
      <c r="C8" s="25">
        <f t="shared" ref="C8:D8" si="4">SUM(C5:C6)</f>
        <v>25</v>
      </c>
      <c r="D8" s="17">
        <f t="shared" si="4"/>
        <v>0.7142857143</v>
      </c>
      <c r="E8" s="77">
        <v>1.595777326E9</v>
      </c>
      <c r="F8" s="78">
        <v>44038.64497685185</v>
      </c>
      <c r="G8" s="46" t="s">
        <v>1466</v>
      </c>
      <c r="H8" s="46" t="s">
        <v>1467</v>
      </c>
      <c r="I8" s="46" t="s">
        <v>14</v>
      </c>
    </row>
    <row r="9">
      <c r="A9" s="71"/>
      <c r="B9" s="5" t="s">
        <v>127</v>
      </c>
      <c r="C9" s="25">
        <f>C2+C5+C6</f>
        <v>29</v>
      </c>
      <c r="D9" s="17">
        <f>SUM(D5:D6) + D2</f>
        <v>0.8285714286</v>
      </c>
      <c r="E9" s="77">
        <v>1.595777485E9</v>
      </c>
      <c r="F9" s="78">
        <v>44038.64681712963</v>
      </c>
      <c r="G9" s="46" t="s">
        <v>1468</v>
      </c>
      <c r="H9" s="46" t="s">
        <v>1469</v>
      </c>
      <c r="I9" s="46" t="s">
        <v>13</v>
      </c>
    </row>
    <row r="10">
      <c r="A10" s="71"/>
      <c r="B10" s="71"/>
      <c r="C10" s="71"/>
      <c r="D10" s="71"/>
      <c r="E10" s="77">
        <v>1.595777696E9</v>
      </c>
      <c r="F10" s="78">
        <v>44038.64925925926</v>
      </c>
      <c r="G10" s="46" t="s">
        <v>1470</v>
      </c>
      <c r="H10" s="46" t="s">
        <v>1471</v>
      </c>
      <c r="I10" s="46" t="s">
        <v>14</v>
      </c>
    </row>
    <row r="11">
      <c r="A11" s="71"/>
      <c r="B11" s="71"/>
      <c r="C11" s="71"/>
      <c r="D11" s="71"/>
      <c r="E11" s="77">
        <v>1.595777787E9</v>
      </c>
      <c r="F11" s="78">
        <v>44038.6503125</v>
      </c>
      <c r="G11" s="46" t="s">
        <v>1472</v>
      </c>
      <c r="H11" s="46" t="s">
        <v>1473</v>
      </c>
      <c r="I11" s="46" t="s">
        <v>93</v>
      </c>
    </row>
    <row r="12">
      <c r="A12" s="13" t="s">
        <v>134</v>
      </c>
      <c r="B12" s="85" t="s">
        <v>1474</v>
      </c>
      <c r="C12" s="71"/>
      <c r="D12" s="71"/>
      <c r="E12" s="77">
        <v>1.59577813E9</v>
      </c>
      <c r="F12" s="78">
        <v>44038.654282407406</v>
      </c>
      <c r="G12" s="46" t="s">
        <v>1475</v>
      </c>
      <c r="H12" s="46" t="s">
        <v>1476</v>
      </c>
      <c r="I12" s="46" t="s">
        <v>14</v>
      </c>
    </row>
    <row r="13">
      <c r="A13" s="13" t="s">
        <v>138</v>
      </c>
      <c r="B13" s="71"/>
      <c r="C13" s="13" t="s">
        <v>101</v>
      </c>
      <c r="D13" s="13" t="s">
        <v>102</v>
      </c>
      <c r="E13" s="77">
        <v>1.595778323E9</v>
      </c>
      <c r="F13" s="78">
        <v>44038.6565162037</v>
      </c>
      <c r="G13" s="46" t="s">
        <v>1477</v>
      </c>
      <c r="H13" s="46" t="s">
        <v>1478</v>
      </c>
      <c r="I13" s="46" t="s">
        <v>12</v>
      </c>
    </row>
    <row r="14">
      <c r="A14" s="5" t="s">
        <v>141</v>
      </c>
      <c r="B14" s="5" t="s">
        <v>142</v>
      </c>
      <c r="C14" s="23">
        <f t="shared" ref="C14:C17" si="5">COUNTIF($A$19:$A1000, A14)</f>
        <v>3</v>
      </c>
      <c r="D14" s="17">
        <f>IFERROR(__xludf.DUMMYFUNCTION("IF(C14, COUNTIF(FILTER($D$19:$D1000, $A$19:$A1000=A14), TRUE)/C14, 0)"),1.0)</f>
        <v>1</v>
      </c>
      <c r="E14" s="77">
        <v>1.595778471E9</v>
      </c>
      <c r="F14" s="78">
        <v>44038.658229166664</v>
      </c>
      <c r="G14" s="46" t="s">
        <v>1479</v>
      </c>
      <c r="H14" s="46" t="s">
        <v>1480</v>
      </c>
      <c r="I14" s="46" t="s">
        <v>13</v>
      </c>
    </row>
    <row r="15">
      <c r="A15" s="5" t="s">
        <v>3</v>
      </c>
      <c r="B15" s="5" t="s">
        <v>145</v>
      </c>
      <c r="C15" s="23">
        <f t="shared" si="5"/>
        <v>7</v>
      </c>
      <c r="D15" s="17">
        <f>IFERROR(__xludf.DUMMYFUNCTION("IF(C15, COUNTIF(FILTER($D$19:$D1000, $A$19:$A1000=A15), TRUE)/C15, 0)"),0.42857142857142855)</f>
        <v>0.4285714286</v>
      </c>
      <c r="E15" s="77">
        <v>1.595778601E9</v>
      </c>
      <c r="F15" s="78">
        <v>44038.659733796296</v>
      </c>
      <c r="G15" s="46" t="s">
        <v>1481</v>
      </c>
      <c r="H15" s="46" t="s">
        <v>1482</v>
      </c>
      <c r="I15" s="46" t="s">
        <v>12</v>
      </c>
    </row>
    <row r="16">
      <c r="A16" s="5" t="s">
        <v>4</v>
      </c>
      <c r="B16" s="5" t="s">
        <v>148</v>
      </c>
      <c r="C16" s="23">
        <f t="shared" si="5"/>
        <v>4</v>
      </c>
      <c r="D16" s="17">
        <f>IFERROR(__xludf.DUMMYFUNCTION("IF(C16, COUNTIF(FILTER($D$19:$D1000, $A$19:$A1000=A16), TRUE)/C16, 0)"),0.5)</f>
        <v>0.5</v>
      </c>
      <c r="E16" s="77">
        <v>1.595778911E9</v>
      </c>
      <c r="F16" s="78">
        <v>44038.66332175926</v>
      </c>
      <c r="G16" s="46" t="s">
        <v>1483</v>
      </c>
      <c r="H16" s="46" t="s">
        <v>1484</v>
      </c>
      <c r="I16" s="46" t="s">
        <v>12</v>
      </c>
    </row>
    <row r="17">
      <c r="A17" s="5" t="s">
        <v>5</v>
      </c>
      <c r="B17" s="5" t="s">
        <v>151</v>
      </c>
      <c r="C17" s="23">
        <f t="shared" si="5"/>
        <v>9</v>
      </c>
      <c r="D17" s="17">
        <f>IFERROR(__xludf.DUMMYFUNCTION("IF(C17, COUNTIF(FILTER($D$19:$D1000, $A$19:$A1000=A17), TRUE)/C17, 0)"),0.2222222222222222)</f>
        <v>0.2222222222</v>
      </c>
      <c r="E17" s="77">
        <v>1.595779034E9</v>
      </c>
      <c r="F17" s="78">
        <v>44038.66474537037</v>
      </c>
      <c r="G17" s="46" t="s">
        <v>1485</v>
      </c>
      <c r="H17" s="46" t="s">
        <v>1486</v>
      </c>
      <c r="I17" s="46" t="s">
        <v>14</v>
      </c>
    </row>
    <row r="18">
      <c r="A18" s="71"/>
      <c r="B18" s="13" t="s">
        <v>6</v>
      </c>
      <c r="C18" s="23">
        <f>SUM(C14:C17)</f>
        <v>23</v>
      </c>
      <c r="D18" s="17">
        <f>COUNTIF($D$19:$D1000, TRUE)/SUM($C$14:$C$17)</f>
        <v>0.4347826087</v>
      </c>
      <c r="E18" s="77">
        <v>1.595779535E9</v>
      </c>
      <c r="F18" s="78">
        <v>44038.67054398148</v>
      </c>
      <c r="G18" s="46" t="s">
        <v>1487</v>
      </c>
      <c r="H18" s="46" t="s">
        <v>1488</v>
      </c>
      <c r="I18" s="46" t="s">
        <v>14</v>
      </c>
    </row>
    <row r="19">
      <c r="A19" s="5" t="s">
        <v>4</v>
      </c>
      <c r="B19" s="5" t="s">
        <v>161</v>
      </c>
      <c r="C19" s="25">
        <v>1.0</v>
      </c>
      <c r="D19" s="96" t="b">
        <v>0</v>
      </c>
      <c r="E19" s="77">
        <v>1.595779754E9</v>
      </c>
      <c r="F19" s="78">
        <v>44038.6730787037</v>
      </c>
      <c r="G19" s="46" t="s">
        <v>1489</v>
      </c>
      <c r="H19" s="46" t="s">
        <v>1490</v>
      </c>
      <c r="I19" s="46" t="s">
        <v>12</v>
      </c>
    </row>
    <row r="20">
      <c r="A20" s="5" t="s">
        <v>3</v>
      </c>
      <c r="B20" s="5" t="s">
        <v>1283</v>
      </c>
      <c r="C20" s="25">
        <v>9.0</v>
      </c>
      <c r="D20" s="96" t="b">
        <v>1</v>
      </c>
      <c r="E20" s="77">
        <v>1.595779923E9</v>
      </c>
      <c r="F20" s="78">
        <v>44038.67503472222</v>
      </c>
      <c r="G20" s="46" t="s">
        <v>1491</v>
      </c>
      <c r="H20" s="46" t="s">
        <v>1492</v>
      </c>
      <c r="I20" s="46" t="s">
        <v>12</v>
      </c>
    </row>
    <row r="21">
      <c r="A21" s="5" t="s">
        <v>141</v>
      </c>
      <c r="B21" s="5" t="s">
        <v>1286</v>
      </c>
      <c r="C21" s="25">
        <v>33.0</v>
      </c>
      <c r="D21" s="96" t="b">
        <v>1</v>
      </c>
      <c r="E21" s="77">
        <v>1.59578015E9</v>
      </c>
      <c r="F21" s="78">
        <v>44038.67766203704</v>
      </c>
      <c r="G21" s="46" t="s">
        <v>1493</v>
      </c>
      <c r="H21" s="46" t="s">
        <v>1494</v>
      </c>
      <c r="I21" s="46" t="s">
        <v>13</v>
      </c>
    </row>
    <row r="22">
      <c r="A22" s="5" t="s">
        <v>4</v>
      </c>
      <c r="B22" s="5" t="s">
        <v>167</v>
      </c>
      <c r="C22" s="25">
        <v>45.0</v>
      </c>
      <c r="D22" s="96" t="b">
        <v>1</v>
      </c>
      <c r="E22" s="77">
        <v>1.595780329E9</v>
      </c>
      <c r="F22" s="78">
        <v>44038.6797337963</v>
      </c>
      <c r="G22" s="46" t="s">
        <v>1495</v>
      </c>
      <c r="H22" s="46" t="s">
        <v>1496</v>
      </c>
      <c r="I22" s="46" t="s">
        <v>14</v>
      </c>
    </row>
    <row r="23">
      <c r="A23" s="5" t="s">
        <v>4</v>
      </c>
      <c r="B23" s="5" t="s">
        <v>170</v>
      </c>
      <c r="C23" s="25">
        <v>45.0</v>
      </c>
      <c r="D23" s="96" t="b">
        <v>0</v>
      </c>
      <c r="E23" s="77">
        <v>1.595780524E9</v>
      </c>
      <c r="F23" s="78">
        <v>44038.68199074074</v>
      </c>
      <c r="G23" s="46" t="s">
        <v>1497</v>
      </c>
      <c r="H23" s="46" t="s">
        <v>1498</v>
      </c>
      <c r="I23" s="46" t="s">
        <v>13</v>
      </c>
    </row>
    <row r="24">
      <c r="A24" s="5" t="s">
        <v>5</v>
      </c>
      <c r="B24" s="5" t="s">
        <v>1293</v>
      </c>
      <c r="C24" s="25">
        <v>58.0</v>
      </c>
      <c r="D24" s="96" t="b">
        <v>1</v>
      </c>
      <c r="E24" s="77">
        <v>1.595780642E9</v>
      </c>
      <c r="F24" s="78">
        <v>44038.68335648148</v>
      </c>
      <c r="G24" s="46" t="s">
        <v>1499</v>
      </c>
      <c r="H24" s="46" t="s">
        <v>1500</v>
      </c>
      <c r="I24" s="46" t="s">
        <v>14</v>
      </c>
    </row>
    <row r="25">
      <c r="A25" s="5" t="s">
        <v>3</v>
      </c>
      <c r="B25" s="71" t="s">
        <v>1296</v>
      </c>
      <c r="C25" s="25">
        <v>63.0</v>
      </c>
      <c r="D25" s="96" t="b">
        <v>1</v>
      </c>
      <c r="E25" s="77">
        <v>1.595780826E9</v>
      </c>
      <c r="F25" s="78">
        <v>44038.68548611111</v>
      </c>
      <c r="G25" s="46" t="s">
        <v>1501</v>
      </c>
      <c r="H25" s="46" t="s">
        <v>1502</v>
      </c>
      <c r="I25" s="46" t="s">
        <v>14</v>
      </c>
    </row>
    <row r="26">
      <c r="A26" s="5" t="s">
        <v>3</v>
      </c>
      <c r="B26" s="71" t="s">
        <v>1299</v>
      </c>
      <c r="C26" s="25">
        <v>69.0</v>
      </c>
      <c r="D26" s="96" t="b">
        <v>0</v>
      </c>
      <c r="E26" s="77">
        <v>1.595780925E9</v>
      </c>
      <c r="F26" s="78">
        <v>44038.686631944445</v>
      </c>
      <c r="G26" s="46" t="s">
        <v>1503</v>
      </c>
      <c r="H26" s="46" t="s">
        <v>1504</v>
      </c>
      <c r="I26" s="46" t="s">
        <v>13</v>
      </c>
    </row>
    <row r="27">
      <c r="A27" s="5" t="s">
        <v>141</v>
      </c>
      <c r="B27" s="71" t="s">
        <v>1302</v>
      </c>
      <c r="C27" s="25">
        <v>70.0</v>
      </c>
      <c r="D27" s="96" t="b">
        <v>1</v>
      </c>
      <c r="E27" s="77">
        <v>1.595781098E9</v>
      </c>
      <c r="F27" s="78">
        <v>44038.68863425926</v>
      </c>
      <c r="G27" s="46" t="s">
        <v>748</v>
      </c>
      <c r="H27" s="46" t="s">
        <v>1505</v>
      </c>
      <c r="I27" s="46" t="s">
        <v>14</v>
      </c>
    </row>
    <row r="28">
      <c r="A28" s="5" t="s">
        <v>5</v>
      </c>
      <c r="B28" s="71" t="s">
        <v>1305</v>
      </c>
      <c r="C28" s="25">
        <v>73.0</v>
      </c>
      <c r="D28" s="96" t="b">
        <v>0</v>
      </c>
      <c r="E28" s="77">
        <v>1.595781188E9</v>
      </c>
      <c r="F28" s="78">
        <v>44038.689675925925</v>
      </c>
      <c r="G28" s="46" t="s">
        <v>1506</v>
      </c>
      <c r="H28" s="46" t="s">
        <v>1507</v>
      </c>
      <c r="I28" s="46" t="s">
        <v>14</v>
      </c>
    </row>
    <row r="29">
      <c r="A29" s="5" t="s">
        <v>5</v>
      </c>
      <c r="B29" s="71" t="s">
        <v>1308</v>
      </c>
      <c r="C29" s="25">
        <v>73.0</v>
      </c>
      <c r="D29" s="96" t="b">
        <v>0</v>
      </c>
      <c r="E29" s="77">
        <v>1.595781286E9</v>
      </c>
      <c r="F29" s="78">
        <v>44038.69081018519</v>
      </c>
      <c r="G29" s="46" t="s">
        <v>1508</v>
      </c>
      <c r="H29" s="46" t="s">
        <v>1509</v>
      </c>
      <c r="I29" s="46" t="s">
        <v>13</v>
      </c>
    </row>
    <row r="30">
      <c r="A30" s="5" t="s">
        <v>5</v>
      </c>
      <c r="B30" s="71" t="s">
        <v>1311</v>
      </c>
      <c r="C30" s="25">
        <v>73.0</v>
      </c>
      <c r="D30" s="96" t="b">
        <v>0</v>
      </c>
      <c r="E30" s="77">
        <v>1.595781426E9</v>
      </c>
      <c r="F30" s="78">
        <v>44038.69243055556</v>
      </c>
      <c r="G30" s="46" t="s">
        <v>1510</v>
      </c>
      <c r="H30" s="46" t="s">
        <v>1511</v>
      </c>
      <c r="I30" s="46" t="s">
        <v>93</v>
      </c>
    </row>
    <row r="31">
      <c r="A31" s="5" t="s">
        <v>5</v>
      </c>
      <c r="B31" s="71" t="s">
        <v>1314</v>
      </c>
      <c r="C31" s="25">
        <v>77.0</v>
      </c>
      <c r="D31" s="96" t="b">
        <v>1</v>
      </c>
      <c r="E31" s="77">
        <v>1.595781537E9</v>
      </c>
      <c r="F31" s="78">
        <v>44038.693715277775</v>
      </c>
      <c r="G31" s="46" t="s">
        <v>1512</v>
      </c>
      <c r="H31" s="46" t="s">
        <v>1513</v>
      </c>
      <c r="I31" s="46" t="s">
        <v>93</v>
      </c>
    </row>
    <row r="32">
      <c r="A32" s="5" t="s">
        <v>3</v>
      </c>
      <c r="B32" s="71" t="s">
        <v>1317</v>
      </c>
      <c r="C32" s="25">
        <v>83.0</v>
      </c>
      <c r="D32" s="96" t="b">
        <v>0</v>
      </c>
      <c r="E32" s="77">
        <v>1.595781696E9</v>
      </c>
      <c r="F32" s="78">
        <v>44038.695555555554</v>
      </c>
      <c r="G32" s="46" t="s">
        <v>1514</v>
      </c>
      <c r="H32" s="46" t="s">
        <v>1515</v>
      </c>
      <c r="I32" s="46" t="s">
        <v>14</v>
      </c>
    </row>
    <row r="33">
      <c r="A33" s="5" t="s">
        <v>5</v>
      </c>
      <c r="B33" s="71" t="s">
        <v>1320</v>
      </c>
      <c r="C33" s="25">
        <v>86.0</v>
      </c>
      <c r="D33" s="96" t="b">
        <v>0</v>
      </c>
      <c r="E33" s="77">
        <v>1.595782244E9</v>
      </c>
      <c r="F33" s="78">
        <v>44038.701898148145</v>
      </c>
      <c r="G33" s="46" t="s">
        <v>1516</v>
      </c>
      <c r="H33" s="46" t="s">
        <v>1517</v>
      </c>
      <c r="I33" s="46" t="s">
        <v>13</v>
      </c>
    </row>
    <row r="34">
      <c r="A34" s="5" t="s">
        <v>5</v>
      </c>
      <c r="B34" s="71" t="s">
        <v>1323</v>
      </c>
      <c r="C34" s="25">
        <v>88.0</v>
      </c>
      <c r="D34" s="96" t="b">
        <v>0</v>
      </c>
      <c r="E34" s="77">
        <v>1.595782383E9</v>
      </c>
      <c r="F34" s="78">
        <v>44038.70350694445</v>
      </c>
      <c r="G34" s="46" t="s">
        <v>1518</v>
      </c>
      <c r="H34" s="46" t="s">
        <v>1519</v>
      </c>
      <c r="I34" s="46" t="s">
        <v>93</v>
      </c>
    </row>
    <row r="35">
      <c r="A35" s="5" t="s">
        <v>3</v>
      </c>
      <c r="B35" s="71" t="s">
        <v>1326</v>
      </c>
      <c r="C35" s="25">
        <v>90.0</v>
      </c>
      <c r="D35" s="96" t="b">
        <v>0</v>
      </c>
      <c r="E35" s="77">
        <v>1.595782564E9</v>
      </c>
      <c r="F35" s="78">
        <v>44038.70560185185</v>
      </c>
      <c r="G35" s="46" t="s">
        <v>1520</v>
      </c>
      <c r="H35" s="46" t="s">
        <v>1521</v>
      </c>
      <c r="I35" s="46" t="s">
        <v>13</v>
      </c>
    </row>
    <row r="36">
      <c r="A36" s="5" t="s">
        <v>3</v>
      </c>
      <c r="B36" s="71" t="s">
        <v>1329</v>
      </c>
      <c r="C36" s="25">
        <v>92.0</v>
      </c>
      <c r="D36" s="96" t="b">
        <v>0</v>
      </c>
      <c r="E36" s="77">
        <v>1.595782698E9</v>
      </c>
      <c r="F36" s="78">
        <v>44038.70715277778</v>
      </c>
      <c r="G36" s="46" t="s">
        <v>1522</v>
      </c>
      <c r="H36" s="46" t="s">
        <v>1523</v>
      </c>
      <c r="I36" s="46" t="s">
        <v>13</v>
      </c>
    </row>
    <row r="37">
      <c r="A37" s="5" t="s">
        <v>3</v>
      </c>
      <c r="B37" s="71" t="s">
        <v>1332</v>
      </c>
      <c r="C37" s="25">
        <v>94.0</v>
      </c>
      <c r="D37" s="96" t="b">
        <v>1</v>
      </c>
      <c r="E37" s="75"/>
      <c r="F37" s="68"/>
      <c r="G37" s="5"/>
      <c r="H37" s="5"/>
      <c r="I37" s="5"/>
    </row>
    <row r="38">
      <c r="A38" s="5" t="s">
        <v>5</v>
      </c>
      <c r="B38" s="71" t="s">
        <v>1335</v>
      </c>
      <c r="C38" s="25">
        <v>97.0</v>
      </c>
      <c r="D38" s="96" t="b">
        <v>0</v>
      </c>
      <c r="E38" s="75"/>
      <c r="F38" s="68"/>
      <c r="G38" s="5"/>
      <c r="H38" s="5"/>
      <c r="I38" s="5"/>
    </row>
    <row r="39">
      <c r="A39" s="5" t="s">
        <v>5</v>
      </c>
      <c r="B39" s="71" t="s">
        <v>1338</v>
      </c>
      <c r="C39" s="25">
        <v>97.0</v>
      </c>
      <c r="D39" s="96" t="b">
        <v>0</v>
      </c>
      <c r="E39" s="75"/>
      <c r="F39" s="68"/>
      <c r="G39" s="5"/>
      <c r="H39" s="5"/>
      <c r="I39" s="5"/>
    </row>
    <row r="40">
      <c r="A40" s="5" t="s">
        <v>141</v>
      </c>
      <c r="B40" s="71" t="s">
        <v>1341</v>
      </c>
      <c r="C40" s="25">
        <v>98.0</v>
      </c>
      <c r="D40" s="96" t="b">
        <v>1</v>
      </c>
      <c r="E40" s="71"/>
      <c r="F40" s="76"/>
      <c r="G40" s="5"/>
      <c r="H40" s="5"/>
      <c r="I40" s="5"/>
    </row>
    <row r="41">
      <c r="A41" s="5" t="s">
        <v>4</v>
      </c>
      <c r="B41" s="71" t="s">
        <v>195</v>
      </c>
      <c r="C41" s="25">
        <v>90.0</v>
      </c>
      <c r="D41" s="96" t="b">
        <v>1</v>
      </c>
      <c r="E41" s="71"/>
      <c r="F41" s="76"/>
      <c r="G41" s="5"/>
      <c r="H41" s="5"/>
      <c r="I41" s="5"/>
    </row>
    <row r="42">
      <c r="A42" s="5"/>
      <c r="B42" s="71"/>
      <c r="C42" s="25"/>
      <c r="D42" s="5"/>
      <c r="E42" s="97"/>
      <c r="F42" s="98"/>
      <c r="H42" s="5"/>
      <c r="I42" s="52"/>
    </row>
    <row r="43">
      <c r="A43" s="5"/>
      <c r="B43" s="5"/>
      <c r="C43" s="5"/>
      <c r="D43" s="5"/>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1</v>
      </c>
      <c r="D2" s="17">
        <f t="shared" ref="D2:D6" si="2">C2/COUNTA(I$2:I1000)</f>
        <v>0.02631578947</v>
      </c>
      <c r="E2" s="83">
        <v>1.595775543E9</v>
      </c>
      <c r="F2" s="68">
        <f>IFERROR(__xludf.DUMMYFUNCTION("INDEX(SPLIT(E2, char(10)), 0, 1)/86400+date(1970,1,1)"),44038.624340277776)</f>
        <v>44038.62434</v>
      </c>
      <c r="G2" s="84" t="s">
        <v>1524</v>
      </c>
      <c r="H2" s="84" t="s">
        <v>1525</v>
      </c>
      <c r="I2" s="46" t="s">
        <v>11</v>
      </c>
    </row>
    <row r="3">
      <c r="A3" s="5" t="s">
        <v>11</v>
      </c>
      <c r="B3" s="5" t="s">
        <v>111</v>
      </c>
      <c r="C3" s="25">
        <f t="shared" si="1"/>
        <v>6</v>
      </c>
      <c r="D3" s="17">
        <f t="shared" si="2"/>
        <v>0.1578947368</v>
      </c>
      <c r="E3" s="83">
        <v>1.595775721E9</v>
      </c>
      <c r="F3" s="68">
        <f>IFERROR(__xludf.DUMMYFUNCTION("INDEX(SPLIT(E3, char(10)), 0, 1)/86400+date(1970,1,1)"),44038.62640046296)</f>
        <v>44038.6264</v>
      </c>
      <c r="G3" s="84" t="s">
        <v>1526</v>
      </c>
      <c r="H3" s="84" t="s">
        <v>1527</v>
      </c>
      <c r="I3" s="46" t="s">
        <v>14</v>
      </c>
    </row>
    <row r="4">
      <c r="A4" s="5" t="s">
        <v>12</v>
      </c>
      <c r="B4" s="5" t="s">
        <v>114</v>
      </c>
      <c r="C4" s="25">
        <f t="shared" si="1"/>
        <v>8</v>
      </c>
      <c r="D4" s="17">
        <f t="shared" si="2"/>
        <v>0.2105263158</v>
      </c>
      <c r="E4" s="83">
        <v>1.59577617E9</v>
      </c>
      <c r="F4" s="68">
        <f>IFERROR(__xludf.DUMMYFUNCTION("INDEX(SPLIT(E4, char(10)), 0, 1)/86400+date(1970,1,1)"),44038.63159722222)</f>
        <v>44038.6316</v>
      </c>
      <c r="G4" s="84" t="s">
        <v>1528</v>
      </c>
      <c r="H4" s="84" t="s">
        <v>1529</v>
      </c>
      <c r="I4" s="46" t="s">
        <v>13</v>
      </c>
    </row>
    <row r="5">
      <c r="A5" s="5" t="s">
        <v>13</v>
      </c>
      <c r="B5" s="5" t="s">
        <v>117</v>
      </c>
      <c r="C5" s="25">
        <f t="shared" si="1"/>
        <v>8</v>
      </c>
      <c r="D5" s="17">
        <f t="shared" si="2"/>
        <v>0.2105263158</v>
      </c>
      <c r="E5" s="83">
        <v>1.595776358E9</v>
      </c>
      <c r="F5" s="68">
        <f>IFERROR(__xludf.DUMMYFUNCTION("INDEX(SPLIT(E5, char(10)), 0, 1)/86400+date(1970,1,1)"),44038.63377314815)</f>
        <v>44038.63377</v>
      </c>
      <c r="G5" s="84" t="s">
        <v>1250</v>
      </c>
      <c r="H5" s="84" t="s">
        <v>1530</v>
      </c>
      <c r="I5" s="46" t="s">
        <v>14</v>
      </c>
    </row>
    <row r="6">
      <c r="A6" s="5" t="s">
        <v>14</v>
      </c>
      <c r="B6" s="5" t="s">
        <v>120</v>
      </c>
      <c r="C6" s="25">
        <f t="shared" si="1"/>
        <v>15</v>
      </c>
      <c r="D6" s="17">
        <f t="shared" si="2"/>
        <v>0.3947368421</v>
      </c>
      <c r="E6" s="83">
        <v>1.595776598E9</v>
      </c>
      <c r="F6" s="68">
        <f>IFERROR(__xludf.DUMMYFUNCTION("INDEX(SPLIT(E6, char(10)), 0, 1)/86400+date(1970,1,1)"),44038.63655092593)</f>
        <v>44038.63655</v>
      </c>
      <c r="G6" s="84" t="s">
        <v>1372</v>
      </c>
      <c r="H6" s="84" t="s">
        <v>1531</v>
      </c>
      <c r="I6" s="46" t="s">
        <v>14</v>
      </c>
    </row>
    <row r="7">
      <c r="A7" s="5"/>
      <c r="B7" s="5" t="s">
        <v>10</v>
      </c>
      <c r="C7" s="23">
        <f t="shared" ref="C7:D7" si="3">SUM(C2:C6)</f>
        <v>38</v>
      </c>
      <c r="D7" s="70">
        <f t="shared" si="3"/>
        <v>1</v>
      </c>
      <c r="E7" s="83">
        <v>1.595777244E9</v>
      </c>
      <c r="F7" s="68">
        <f>IFERROR(__xludf.DUMMYFUNCTION("INDEX(SPLIT(E7, char(10)), 0, 1)/86400+date(1970,1,1)"),44038.64402777777)</f>
        <v>44038.64403</v>
      </c>
      <c r="G7" s="84" t="s">
        <v>1532</v>
      </c>
      <c r="H7" s="84" t="s">
        <v>1533</v>
      </c>
      <c r="I7" s="46" t="s">
        <v>11</v>
      </c>
    </row>
    <row r="8">
      <c r="A8" s="71"/>
      <c r="B8" s="5" t="s">
        <v>15</v>
      </c>
      <c r="C8" s="25">
        <f t="shared" ref="C8:D8" si="4">SUM(C5:C6)</f>
        <v>23</v>
      </c>
      <c r="D8" s="17">
        <f t="shared" si="4"/>
        <v>0.6052631579</v>
      </c>
      <c r="E8" s="83">
        <v>1.595777404E9</v>
      </c>
      <c r="F8" s="68">
        <f>IFERROR(__xludf.DUMMYFUNCTION("INDEX(SPLIT(E8, char(10)), 0, 1)/86400+date(1970,1,1)"),44038.64587962963)</f>
        <v>44038.64588</v>
      </c>
      <c r="G8" s="84" t="s">
        <v>1534</v>
      </c>
      <c r="H8" s="84" t="s">
        <v>1535</v>
      </c>
      <c r="I8" s="46" t="s">
        <v>14</v>
      </c>
    </row>
    <row r="9">
      <c r="A9" s="71"/>
      <c r="B9" s="5" t="s">
        <v>127</v>
      </c>
      <c r="C9" s="25">
        <f>C2+C5+C6</f>
        <v>24</v>
      </c>
      <c r="D9" s="17">
        <f>SUM(D5:D6) + D2</f>
        <v>0.6315789474</v>
      </c>
      <c r="E9" s="83">
        <v>1.59577761E9</v>
      </c>
      <c r="F9" s="68">
        <f>IFERROR(__xludf.DUMMYFUNCTION("INDEX(SPLIT(E9, char(10)), 0, 1)/86400+date(1970,1,1)"),44038.648263888885)</f>
        <v>44038.64826</v>
      </c>
      <c r="G9" s="84" t="s">
        <v>1536</v>
      </c>
      <c r="H9" s="84" t="s">
        <v>1537</v>
      </c>
      <c r="I9" s="46" t="s">
        <v>13</v>
      </c>
    </row>
    <row r="10">
      <c r="A10" s="71"/>
      <c r="B10" s="71"/>
      <c r="C10" s="71"/>
      <c r="D10" s="71"/>
      <c r="E10" s="83">
        <v>1.595777732E9</v>
      </c>
      <c r="F10" s="68">
        <f>IFERROR(__xludf.DUMMYFUNCTION("INDEX(SPLIT(E10, char(10)), 0, 1)/86400+date(1970,1,1)"),44038.649675925924)</f>
        <v>44038.64968</v>
      </c>
      <c r="G10" s="84" t="s">
        <v>1538</v>
      </c>
      <c r="H10" s="84" t="s">
        <v>1539</v>
      </c>
      <c r="I10" s="46" t="s">
        <v>14</v>
      </c>
    </row>
    <row r="11">
      <c r="A11" s="71"/>
      <c r="B11" s="71"/>
      <c r="C11" s="71"/>
      <c r="D11" s="71"/>
      <c r="E11" s="83">
        <v>1.595777953E9</v>
      </c>
      <c r="F11" s="68">
        <f>IFERROR(__xludf.DUMMYFUNCTION("INDEX(SPLIT(E11, char(10)), 0, 1)/86400+date(1970,1,1)"),44038.652233796296)</f>
        <v>44038.65223</v>
      </c>
      <c r="G11" s="84" t="s">
        <v>1540</v>
      </c>
      <c r="H11" s="84" t="s">
        <v>1541</v>
      </c>
      <c r="I11" s="46" t="s">
        <v>12</v>
      </c>
    </row>
    <row r="12">
      <c r="A12" s="13" t="s">
        <v>134</v>
      </c>
      <c r="B12" s="85" t="s">
        <v>1542</v>
      </c>
      <c r="C12" s="71"/>
      <c r="D12" s="71"/>
      <c r="E12" s="83">
        <v>1.595778163E9</v>
      </c>
      <c r="F12" s="68">
        <f>IFERROR(__xludf.DUMMYFUNCTION("INDEX(SPLIT(E12, char(10)), 0, 1)/86400+date(1970,1,1)"),44038.65466435185)</f>
        <v>44038.65466</v>
      </c>
      <c r="G12" s="84" t="s">
        <v>1250</v>
      </c>
      <c r="H12" s="84" t="s">
        <v>1543</v>
      </c>
      <c r="I12" s="46" t="s">
        <v>14</v>
      </c>
    </row>
    <row r="13">
      <c r="A13" s="13" t="s">
        <v>138</v>
      </c>
      <c r="B13" s="71"/>
      <c r="C13" s="13" t="s">
        <v>101</v>
      </c>
      <c r="D13" s="13" t="s">
        <v>102</v>
      </c>
      <c r="E13" s="83">
        <v>1.595778485E9</v>
      </c>
      <c r="F13" s="68">
        <f>IFERROR(__xludf.DUMMYFUNCTION("INDEX(SPLIT(E13, char(10)), 0, 1)/86400+date(1970,1,1)"),44038.6583912037)</f>
        <v>44038.65839</v>
      </c>
      <c r="G13" s="84" t="s">
        <v>1544</v>
      </c>
      <c r="H13" s="84" t="s">
        <v>1545</v>
      </c>
      <c r="I13" s="46" t="s">
        <v>14</v>
      </c>
    </row>
    <row r="14">
      <c r="A14" s="5" t="s">
        <v>141</v>
      </c>
      <c r="B14" s="5" t="s">
        <v>142</v>
      </c>
      <c r="C14" s="23">
        <f t="shared" ref="C14:C17" si="5">COUNTIF($A$19:$A1000, A14)</f>
        <v>3</v>
      </c>
      <c r="D14" s="17">
        <f>IFERROR(__xludf.DUMMYFUNCTION("IF(C14, COUNTIF(FILTER($D$19:$D1000, $A$19:$A1000=A14), TRUE)/C14, 0)"),1.0)</f>
        <v>1</v>
      </c>
      <c r="E14" s="83">
        <v>1.595778606E9</v>
      </c>
      <c r="F14" s="68">
        <f>IFERROR(__xludf.DUMMYFUNCTION("INDEX(SPLIT(E14, char(10)), 0, 1)/86400+date(1970,1,1)"),44038.659791666665)</f>
        <v>44038.65979</v>
      </c>
      <c r="G14" s="84" t="s">
        <v>1546</v>
      </c>
      <c r="H14" s="84" t="s">
        <v>1547</v>
      </c>
      <c r="I14" s="46" t="s">
        <v>13</v>
      </c>
    </row>
    <row r="15">
      <c r="A15" s="5" t="s">
        <v>3</v>
      </c>
      <c r="B15" s="5" t="s">
        <v>145</v>
      </c>
      <c r="C15" s="23">
        <f t="shared" si="5"/>
        <v>7</v>
      </c>
      <c r="D15" s="17">
        <f>IFERROR(__xludf.DUMMYFUNCTION("IF(C15, COUNTIF(FILTER($D$19:$D1000, $A$19:$A1000=A15), TRUE)/C15, 0)"),0.42857142857142855)</f>
        <v>0.4285714286</v>
      </c>
      <c r="E15" s="83">
        <v>1.595778762E9</v>
      </c>
      <c r="F15" s="68">
        <f>IFERROR(__xludf.DUMMYFUNCTION("INDEX(SPLIT(E15, char(10)), 0, 1)/86400+date(1970,1,1)"),44038.66159722222)</f>
        <v>44038.6616</v>
      </c>
      <c r="G15" s="84" t="s">
        <v>1384</v>
      </c>
      <c r="H15" s="84" t="s">
        <v>1548</v>
      </c>
      <c r="I15" s="46" t="s">
        <v>12</v>
      </c>
    </row>
    <row r="16">
      <c r="A16" s="5" t="s">
        <v>4</v>
      </c>
      <c r="B16" s="5" t="s">
        <v>148</v>
      </c>
      <c r="C16" s="23">
        <f t="shared" si="5"/>
        <v>4</v>
      </c>
      <c r="D16" s="17">
        <f>IFERROR(__xludf.DUMMYFUNCTION("IF(C16, COUNTIF(FILTER($D$19:$D1000, $A$19:$A1000=A16), TRUE)/C16, 0)"),0.25)</f>
        <v>0.25</v>
      </c>
      <c r="E16" s="83">
        <v>1.595778894E9</v>
      </c>
      <c r="F16" s="68">
        <f>IFERROR(__xludf.DUMMYFUNCTION("INDEX(SPLIT(E16, char(10)), 0, 1)/86400+date(1970,1,1)"),44038.663125)</f>
        <v>44038.66313</v>
      </c>
      <c r="G16" s="84" t="s">
        <v>1549</v>
      </c>
      <c r="H16" s="84" t="s">
        <v>1550</v>
      </c>
      <c r="I16" s="46" t="s">
        <v>11</v>
      </c>
    </row>
    <row r="17">
      <c r="A17" s="5" t="s">
        <v>5</v>
      </c>
      <c r="B17" s="5" t="s">
        <v>151</v>
      </c>
      <c r="C17" s="23">
        <f t="shared" si="5"/>
        <v>9</v>
      </c>
      <c r="D17" s="17">
        <f>IFERROR(__xludf.DUMMYFUNCTION("IF(C17, COUNTIF(FILTER($D$19:$D1000, $A$19:$A1000=A17), TRUE)/C17, 0)"),0.1111111111111111)</f>
        <v>0.1111111111</v>
      </c>
      <c r="E17" s="83">
        <v>1.595779011E9</v>
      </c>
      <c r="F17" s="68">
        <f>IFERROR(__xludf.DUMMYFUNCTION("INDEX(SPLIT(E17, char(10)), 0, 1)/86400+date(1970,1,1)"),44038.66447916666)</f>
        <v>44038.66448</v>
      </c>
      <c r="G17" s="84" t="s">
        <v>1551</v>
      </c>
      <c r="H17" s="84" t="s">
        <v>1552</v>
      </c>
      <c r="I17" s="46" t="s">
        <v>14</v>
      </c>
    </row>
    <row r="18">
      <c r="A18" s="71"/>
      <c r="B18" s="13" t="s">
        <v>6</v>
      </c>
      <c r="C18" s="23">
        <f>SUM(C14:C17)</f>
        <v>23</v>
      </c>
      <c r="D18" s="17">
        <f>COUNTIF($D$19:$D1000, TRUE)/SUM($C$14:$C$17)</f>
        <v>0.347826087</v>
      </c>
      <c r="E18" s="83">
        <v>1.595779227E9</v>
      </c>
      <c r="F18" s="68">
        <f>IFERROR(__xludf.DUMMYFUNCTION("INDEX(SPLIT(E18, char(10)), 0, 1)/86400+date(1970,1,1)"),44038.666979166665)</f>
        <v>44038.66698</v>
      </c>
      <c r="G18" s="84" t="s">
        <v>1553</v>
      </c>
      <c r="H18" s="84" t="s">
        <v>1554</v>
      </c>
      <c r="I18" s="46" t="s">
        <v>12</v>
      </c>
    </row>
    <row r="19">
      <c r="A19" s="5" t="s">
        <v>4</v>
      </c>
      <c r="B19" s="5" t="s">
        <v>161</v>
      </c>
      <c r="C19" s="25">
        <v>1.0</v>
      </c>
      <c r="D19" s="79" t="b">
        <v>0</v>
      </c>
      <c r="E19" s="83">
        <v>1.595779424E9</v>
      </c>
      <c r="F19" s="68">
        <f>IFERROR(__xludf.DUMMYFUNCTION("INDEX(SPLIT(E19, char(10)), 0, 1)/86400+date(1970,1,1)"),44038.66925925926)</f>
        <v>44038.66926</v>
      </c>
      <c r="G19" s="84" t="s">
        <v>1555</v>
      </c>
      <c r="H19" s="84" t="s">
        <v>1556</v>
      </c>
      <c r="I19" s="46" t="s">
        <v>12</v>
      </c>
    </row>
    <row r="20">
      <c r="A20" s="5" t="s">
        <v>3</v>
      </c>
      <c r="B20" s="5" t="s">
        <v>1283</v>
      </c>
      <c r="C20" s="25">
        <v>9.0</v>
      </c>
      <c r="D20" s="74" t="b">
        <v>1</v>
      </c>
      <c r="E20" s="83">
        <v>1.595779528E9</v>
      </c>
      <c r="F20" s="68">
        <f>IFERROR(__xludf.DUMMYFUNCTION("INDEX(SPLIT(E20, char(10)), 0, 1)/86400+date(1970,1,1)"),44038.67046296297)</f>
        <v>44038.67046</v>
      </c>
      <c r="G20" s="84" t="s">
        <v>1557</v>
      </c>
      <c r="H20" s="84" t="s">
        <v>1558</v>
      </c>
      <c r="I20" s="46" t="s">
        <v>12</v>
      </c>
    </row>
    <row r="21">
      <c r="A21" s="5" t="s">
        <v>141</v>
      </c>
      <c r="B21" s="5" t="s">
        <v>1286</v>
      </c>
      <c r="C21" s="25">
        <v>33.0</v>
      </c>
      <c r="D21" s="74" t="b">
        <v>1</v>
      </c>
      <c r="E21" s="83">
        <v>1.59577962E9</v>
      </c>
      <c r="F21" s="68">
        <f>IFERROR(__xludf.DUMMYFUNCTION("INDEX(SPLIT(E21, char(10)), 0, 1)/86400+date(1970,1,1)"),44038.67152777778)</f>
        <v>44038.67153</v>
      </c>
      <c r="G21" s="84" t="s">
        <v>1559</v>
      </c>
      <c r="H21" s="84" t="s">
        <v>1560</v>
      </c>
      <c r="I21" s="46" t="s">
        <v>14</v>
      </c>
    </row>
    <row r="22">
      <c r="A22" s="5" t="s">
        <v>4</v>
      </c>
      <c r="B22" s="5" t="s">
        <v>167</v>
      </c>
      <c r="C22" s="25">
        <v>45.0</v>
      </c>
      <c r="D22" s="74" t="b">
        <v>1</v>
      </c>
      <c r="E22" s="83">
        <v>1.595779932E9</v>
      </c>
      <c r="F22" s="68">
        <f>IFERROR(__xludf.DUMMYFUNCTION("INDEX(SPLIT(E22, char(10)), 0, 1)/86400+date(1970,1,1)"),44038.67513888889)</f>
        <v>44038.67514</v>
      </c>
      <c r="G22" s="84" t="s">
        <v>1561</v>
      </c>
      <c r="H22" s="84" t="s">
        <v>1562</v>
      </c>
      <c r="I22" s="46" t="s">
        <v>14</v>
      </c>
    </row>
    <row r="23">
      <c r="A23" s="5" t="s">
        <v>4</v>
      </c>
      <c r="B23" s="5" t="s">
        <v>170</v>
      </c>
      <c r="C23" s="25">
        <v>45.0</v>
      </c>
      <c r="D23" s="74" t="b">
        <v>0</v>
      </c>
      <c r="E23" s="83">
        <v>1.595780185E9</v>
      </c>
      <c r="F23" s="68">
        <f>IFERROR(__xludf.DUMMYFUNCTION("INDEX(SPLIT(E23, char(10)), 0, 1)/86400+date(1970,1,1)"),44038.67806712963)</f>
        <v>44038.67807</v>
      </c>
      <c r="G23" s="84" t="s">
        <v>1563</v>
      </c>
      <c r="H23" s="84" t="s">
        <v>1564</v>
      </c>
      <c r="I23" s="46" t="s">
        <v>12</v>
      </c>
    </row>
    <row r="24">
      <c r="A24" s="5" t="s">
        <v>5</v>
      </c>
      <c r="B24" s="5" t="s">
        <v>1293</v>
      </c>
      <c r="C24" s="25">
        <v>58.0</v>
      </c>
      <c r="D24" s="74" t="b">
        <v>0</v>
      </c>
      <c r="E24" s="83">
        <v>1.595780432E9</v>
      </c>
      <c r="F24" s="68">
        <f>IFERROR(__xludf.DUMMYFUNCTION("INDEX(SPLIT(E24, char(10)), 0, 1)/86400+date(1970,1,1)"),44038.680925925924)</f>
        <v>44038.68093</v>
      </c>
      <c r="G24" s="84" t="s">
        <v>1565</v>
      </c>
      <c r="H24" s="84" t="s">
        <v>1566</v>
      </c>
      <c r="I24" s="46" t="s">
        <v>11</v>
      </c>
    </row>
    <row r="25">
      <c r="A25" s="5" t="s">
        <v>3</v>
      </c>
      <c r="B25" s="71" t="s">
        <v>1296</v>
      </c>
      <c r="C25" s="25">
        <v>63.0</v>
      </c>
      <c r="D25" s="74" t="b">
        <v>1</v>
      </c>
      <c r="E25" s="83">
        <v>1.595780546E9</v>
      </c>
      <c r="F25" s="68">
        <f>IFERROR(__xludf.DUMMYFUNCTION("INDEX(SPLIT(E25, char(10)), 0, 1)/86400+date(1970,1,1)"),44038.68224537037)</f>
        <v>44038.68225</v>
      </c>
      <c r="G25" s="84" t="s">
        <v>1567</v>
      </c>
      <c r="H25" s="84" t="s">
        <v>1568</v>
      </c>
      <c r="I25" s="46" t="s">
        <v>13</v>
      </c>
    </row>
    <row r="26">
      <c r="A26" s="5" t="s">
        <v>3</v>
      </c>
      <c r="B26" s="71" t="s">
        <v>1299</v>
      </c>
      <c r="C26" s="25">
        <v>69.0</v>
      </c>
      <c r="D26" s="74" t="b">
        <v>0</v>
      </c>
      <c r="E26" s="83">
        <v>1.59578077E9</v>
      </c>
      <c r="F26" s="68">
        <f>IFERROR(__xludf.DUMMYFUNCTION("INDEX(SPLIT(E26, char(10)), 0, 1)/86400+date(1970,1,1)"),44038.68483796297)</f>
        <v>44038.68484</v>
      </c>
      <c r="G26" s="84" t="s">
        <v>1569</v>
      </c>
      <c r="H26" s="84" t="s">
        <v>1570</v>
      </c>
      <c r="I26" s="46" t="s">
        <v>14</v>
      </c>
    </row>
    <row r="27">
      <c r="A27" s="5" t="s">
        <v>141</v>
      </c>
      <c r="B27" s="71" t="s">
        <v>1302</v>
      </c>
      <c r="C27" s="25">
        <v>70.0</v>
      </c>
      <c r="D27" s="74" t="b">
        <v>1</v>
      </c>
      <c r="E27" s="83">
        <v>1.595780878E9</v>
      </c>
      <c r="F27" s="68">
        <f>IFERROR(__xludf.DUMMYFUNCTION("INDEX(SPLIT(E27, char(10)), 0, 1)/86400+date(1970,1,1)"),44038.68608796297)</f>
        <v>44038.68609</v>
      </c>
      <c r="G27" s="84" t="s">
        <v>1571</v>
      </c>
      <c r="H27" s="84" t="s">
        <v>1572</v>
      </c>
      <c r="I27" s="46" t="s">
        <v>13</v>
      </c>
    </row>
    <row r="28">
      <c r="A28" s="5" t="s">
        <v>5</v>
      </c>
      <c r="B28" s="71" t="s">
        <v>1305</v>
      </c>
      <c r="C28" s="25">
        <v>73.0</v>
      </c>
      <c r="D28" s="74" t="b">
        <v>0</v>
      </c>
      <c r="E28" s="83">
        <v>1.595780973E9</v>
      </c>
      <c r="F28" s="68">
        <f>IFERROR(__xludf.DUMMYFUNCTION("INDEX(SPLIT(E28, char(10)), 0, 1)/86400+date(1970,1,1)"),44038.6871875)</f>
        <v>44038.68719</v>
      </c>
      <c r="G28" s="84" t="s">
        <v>1573</v>
      </c>
      <c r="H28" s="84" t="s">
        <v>1574</v>
      </c>
      <c r="I28" s="46" t="s">
        <v>14</v>
      </c>
    </row>
    <row r="29">
      <c r="A29" s="5" t="s">
        <v>5</v>
      </c>
      <c r="B29" s="71" t="s">
        <v>1308</v>
      </c>
      <c r="C29" s="25">
        <v>73.0</v>
      </c>
      <c r="D29" s="74" t="b">
        <v>0</v>
      </c>
      <c r="E29" s="87">
        <v>1.595781092E9</v>
      </c>
      <c r="F29" s="68">
        <f>IFERROR(__xludf.DUMMYFUNCTION("INDEX(SPLIT(E29, char(10)), 0, 1)/86400+date(1970,1,1)"),44038.688564814816)</f>
        <v>44038.68856</v>
      </c>
      <c r="G29" s="84" t="s">
        <v>1575</v>
      </c>
      <c r="H29" s="84" t="s">
        <v>1576</v>
      </c>
      <c r="I29" s="46" t="s">
        <v>12</v>
      </c>
    </row>
    <row r="30">
      <c r="A30" s="5" t="s">
        <v>5</v>
      </c>
      <c r="B30" s="71" t="s">
        <v>1311</v>
      </c>
      <c r="C30" s="25">
        <v>73.0</v>
      </c>
      <c r="D30" s="74" t="b">
        <v>0</v>
      </c>
      <c r="E30" s="78">
        <v>1.595781186E9</v>
      </c>
      <c r="F30" s="68">
        <f>IFERROR(__xludf.DUMMYFUNCTION("INDEX(SPLIT(E30, char(10)), 0, 1)/86400+date(1970,1,1)"),44038.68965277778)</f>
        <v>44038.68965</v>
      </c>
      <c r="G30" s="84" t="s">
        <v>1577</v>
      </c>
      <c r="H30" s="84" t="s">
        <v>1578</v>
      </c>
      <c r="I30" s="46" t="s">
        <v>14</v>
      </c>
    </row>
    <row r="31">
      <c r="A31" s="5" t="s">
        <v>5</v>
      </c>
      <c r="B31" s="71" t="s">
        <v>1314</v>
      </c>
      <c r="C31" s="25">
        <v>77.0</v>
      </c>
      <c r="D31" s="74" t="b">
        <v>1</v>
      </c>
      <c r="E31" s="87">
        <v>1.59578131E9</v>
      </c>
      <c r="F31" s="68">
        <f>IFERROR(__xludf.DUMMYFUNCTION("INDEX(SPLIT(E31, char(10)), 0, 1)/86400+date(1970,1,1)"),44038.69108796296)</f>
        <v>44038.69109</v>
      </c>
      <c r="G31" s="84" t="s">
        <v>1579</v>
      </c>
      <c r="H31" s="84" t="s">
        <v>1580</v>
      </c>
      <c r="I31" s="46" t="s">
        <v>12</v>
      </c>
    </row>
    <row r="32">
      <c r="A32" s="5" t="s">
        <v>3</v>
      </c>
      <c r="B32" s="71" t="s">
        <v>1317</v>
      </c>
      <c r="C32" s="25">
        <v>83.0</v>
      </c>
      <c r="D32" s="74" t="b">
        <v>0</v>
      </c>
      <c r="E32" s="87">
        <v>1.595781437E9</v>
      </c>
      <c r="F32" s="68">
        <f>IFERROR(__xludf.DUMMYFUNCTION("INDEX(SPLIT(E32, char(10)), 0, 1)/86400+date(1970,1,1)"),44038.69255787037)</f>
        <v>44038.69256</v>
      </c>
      <c r="G32" s="84" t="s">
        <v>1581</v>
      </c>
      <c r="H32" s="84" t="s">
        <v>1582</v>
      </c>
      <c r="I32" s="46" t="s">
        <v>13</v>
      </c>
    </row>
    <row r="33">
      <c r="A33" s="5" t="s">
        <v>5</v>
      </c>
      <c r="B33" s="71" t="s">
        <v>1320</v>
      </c>
      <c r="C33" s="25">
        <v>86.0</v>
      </c>
      <c r="D33" s="74" t="b">
        <v>0</v>
      </c>
      <c r="E33" s="87">
        <v>1.595781564E9</v>
      </c>
      <c r="F33" s="68">
        <f>IFERROR(__xludf.DUMMYFUNCTION("INDEX(SPLIT(E33, char(10)), 0, 1)/86400+date(1970,1,1)"),44038.694027777776)</f>
        <v>44038.69403</v>
      </c>
      <c r="G33" s="84" t="s">
        <v>1583</v>
      </c>
      <c r="H33" s="84" t="s">
        <v>1584</v>
      </c>
      <c r="I33" s="46" t="s">
        <v>11</v>
      </c>
    </row>
    <row r="34">
      <c r="A34" s="5" t="s">
        <v>5</v>
      </c>
      <c r="B34" s="71" t="s">
        <v>1323</v>
      </c>
      <c r="C34" s="25">
        <v>88.0</v>
      </c>
      <c r="D34" s="74" t="b">
        <v>0</v>
      </c>
      <c r="E34" s="87">
        <v>1.595781725E9</v>
      </c>
      <c r="F34" s="68">
        <f>IFERROR(__xludf.DUMMYFUNCTION("INDEX(SPLIT(E34, char(10)), 0, 1)/86400+date(1970,1,1)"),44038.69589120371)</f>
        <v>44038.69589</v>
      </c>
      <c r="G34" s="84" t="s">
        <v>1585</v>
      </c>
      <c r="H34" s="84" t="s">
        <v>1586</v>
      </c>
      <c r="I34" s="46" t="s">
        <v>11</v>
      </c>
    </row>
    <row r="35">
      <c r="A35" s="5" t="s">
        <v>3</v>
      </c>
      <c r="B35" s="71" t="s">
        <v>1326</v>
      </c>
      <c r="C35" s="25">
        <v>90.0</v>
      </c>
      <c r="D35" s="74" t="b">
        <v>0</v>
      </c>
      <c r="E35" s="87">
        <v>1.595781816E9</v>
      </c>
      <c r="F35" s="68">
        <f>IFERROR(__xludf.DUMMYFUNCTION("INDEX(SPLIT(E35, char(10)), 0, 1)/86400+date(1970,1,1)"),44038.69694444444)</f>
        <v>44038.69694</v>
      </c>
      <c r="G35" s="84" t="s">
        <v>1587</v>
      </c>
      <c r="H35" s="84" t="s">
        <v>1588</v>
      </c>
      <c r="I35" s="46" t="s">
        <v>14</v>
      </c>
    </row>
    <row r="36">
      <c r="A36" s="5" t="s">
        <v>3</v>
      </c>
      <c r="B36" s="71" t="s">
        <v>1329</v>
      </c>
      <c r="C36" s="25">
        <v>92.0</v>
      </c>
      <c r="D36" s="74" t="b">
        <v>0</v>
      </c>
      <c r="E36" s="87">
        <v>1.595782094E9</v>
      </c>
      <c r="F36" s="68">
        <f>IFERROR(__xludf.DUMMYFUNCTION("INDEX(SPLIT(E36, char(10)), 0, 1)/86400+date(1970,1,1)"),44038.700162037036)</f>
        <v>44038.70016</v>
      </c>
      <c r="G36" s="84" t="s">
        <v>1589</v>
      </c>
      <c r="H36" s="84" t="s">
        <v>1590</v>
      </c>
      <c r="I36" s="46" t="s">
        <v>93</v>
      </c>
    </row>
    <row r="37">
      <c r="A37" s="5" t="s">
        <v>3</v>
      </c>
      <c r="B37" s="71" t="s">
        <v>1332</v>
      </c>
      <c r="C37" s="25">
        <v>94.0</v>
      </c>
      <c r="D37" s="74" t="b">
        <v>1</v>
      </c>
      <c r="E37" s="87">
        <v>1.595782276E9</v>
      </c>
      <c r="F37" s="68">
        <f>IFERROR(__xludf.DUMMYFUNCTION("INDEX(SPLIT(E37, char(10)), 0, 1)/86400+date(1970,1,1)"),44038.70226851852)</f>
        <v>44038.70227</v>
      </c>
      <c r="G37" s="84" t="s">
        <v>1591</v>
      </c>
      <c r="H37" s="84" t="s">
        <v>1592</v>
      </c>
      <c r="I37" s="46" t="s">
        <v>13</v>
      </c>
    </row>
    <row r="38">
      <c r="A38" s="5" t="s">
        <v>5</v>
      </c>
      <c r="B38" s="71" t="s">
        <v>1335</v>
      </c>
      <c r="C38" s="25">
        <v>97.0</v>
      </c>
      <c r="D38" s="74" t="b">
        <v>0</v>
      </c>
      <c r="E38" s="87">
        <v>1.595782406E9</v>
      </c>
      <c r="F38" s="68">
        <f>IFERROR(__xludf.DUMMYFUNCTION("INDEX(SPLIT(E38, char(10)), 0, 1)/86400+date(1970,1,1)"),44038.70377314815)</f>
        <v>44038.70377</v>
      </c>
      <c r="G38" s="84" t="s">
        <v>1593</v>
      </c>
      <c r="H38" s="84" t="s">
        <v>1594</v>
      </c>
      <c r="I38" s="46" t="s">
        <v>14</v>
      </c>
    </row>
    <row r="39">
      <c r="A39" s="5" t="s">
        <v>5</v>
      </c>
      <c r="B39" s="71" t="s">
        <v>1338</v>
      </c>
      <c r="C39" s="25">
        <v>97.0</v>
      </c>
      <c r="D39" s="74" t="b">
        <v>0</v>
      </c>
      <c r="E39" s="87">
        <v>1.595782584E9</v>
      </c>
      <c r="F39" s="68">
        <f>IFERROR(__xludf.DUMMYFUNCTION("INDEX(SPLIT(E39, char(10)), 0, 1)/86400+date(1970,1,1)"),44038.70583333333)</f>
        <v>44038.70583</v>
      </c>
      <c r="G39" s="84" t="s">
        <v>1595</v>
      </c>
      <c r="H39" s="84" t="s">
        <v>1596</v>
      </c>
      <c r="I39" s="46" t="s">
        <v>13</v>
      </c>
    </row>
    <row r="40">
      <c r="A40" s="5" t="s">
        <v>141</v>
      </c>
      <c r="B40" s="71" t="s">
        <v>1341</v>
      </c>
      <c r="C40" s="25">
        <v>98.0</v>
      </c>
      <c r="D40" s="74" t="b">
        <v>1</v>
      </c>
      <c r="E40" s="95"/>
      <c r="F40" s="68"/>
      <c r="G40" s="84"/>
      <c r="H40" s="84"/>
      <c r="I40" s="46"/>
    </row>
    <row r="41">
      <c r="A41" s="5" t="s">
        <v>4</v>
      </c>
      <c r="B41" s="71" t="s">
        <v>195</v>
      </c>
      <c r="C41" s="25">
        <v>90.0</v>
      </c>
      <c r="D41" s="74" t="b">
        <v>0</v>
      </c>
      <c r="E41" s="95"/>
      <c r="F41" s="68"/>
      <c r="G41" s="5"/>
      <c r="H41" s="5"/>
      <c r="I41" s="46"/>
    </row>
    <row r="42">
      <c r="A42" s="5"/>
      <c r="B42" s="71"/>
      <c r="C42" s="25"/>
      <c r="D42" s="5"/>
      <c r="E42" s="99"/>
      <c r="F42" s="68"/>
      <c r="H42" s="5"/>
      <c r="I42" s="52"/>
    </row>
    <row r="43">
      <c r="A43" s="46"/>
      <c r="B43" s="46"/>
      <c r="C43" s="46"/>
      <c r="D43" s="46"/>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3</v>
      </c>
      <c r="D2" s="17">
        <f t="shared" ref="D2:D6" si="2">C2/COUNTA(I$2:I1000)</f>
        <v>0.125</v>
      </c>
      <c r="E2" s="25">
        <v>1.595776238E9</v>
      </c>
      <c r="F2" s="68">
        <f>IFERROR(__xludf.DUMMYFUNCTION("INDEX(SPLIT(E2, char(10)), 0, 1)/86400+date(1970,1,1)"),44038.63238425926)</f>
        <v>44038.63238</v>
      </c>
      <c r="G2" s="5" t="s">
        <v>1597</v>
      </c>
      <c r="H2" s="5" t="s">
        <v>1598</v>
      </c>
      <c r="I2" s="46" t="s">
        <v>13</v>
      </c>
    </row>
    <row r="3">
      <c r="A3" s="5" t="s">
        <v>11</v>
      </c>
      <c r="B3" s="5" t="s">
        <v>111</v>
      </c>
      <c r="C3" s="25">
        <f t="shared" si="1"/>
        <v>0</v>
      </c>
      <c r="D3" s="17">
        <f t="shared" si="2"/>
        <v>0</v>
      </c>
      <c r="E3" s="25">
        <v>1.595776333E9</v>
      </c>
      <c r="F3" s="68">
        <f>IFERROR(__xludf.DUMMYFUNCTION("INDEX(SPLIT(E3, char(10)), 0, 1)/86400+date(1970,1,1)"),44038.63348379629)</f>
        <v>44038.63348</v>
      </c>
      <c r="G3" s="5" t="s">
        <v>1250</v>
      </c>
      <c r="H3" s="5" t="s">
        <v>1599</v>
      </c>
      <c r="I3" s="46" t="s">
        <v>14</v>
      </c>
    </row>
    <row r="4">
      <c r="A4" s="5" t="s">
        <v>12</v>
      </c>
      <c r="B4" s="5" t="s">
        <v>114</v>
      </c>
      <c r="C4" s="25">
        <f t="shared" si="1"/>
        <v>2</v>
      </c>
      <c r="D4" s="17">
        <f t="shared" si="2"/>
        <v>0.08333333333</v>
      </c>
      <c r="E4" s="25">
        <v>1.595777156E9</v>
      </c>
      <c r="F4" s="68">
        <f>IFERROR(__xludf.DUMMYFUNCTION("INDEX(SPLIT(E4, char(10)), 0, 1)/86400+date(1970,1,1)"),44038.64300925926)</f>
        <v>44038.64301</v>
      </c>
      <c r="G4" s="5" t="s">
        <v>1600</v>
      </c>
      <c r="H4" s="84" t="s">
        <v>1601</v>
      </c>
      <c r="I4" s="46" t="s">
        <v>14</v>
      </c>
    </row>
    <row r="5">
      <c r="A5" s="5" t="s">
        <v>13</v>
      </c>
      <c r="B5" s="5" t="s">
        <v>117</v>
      </c>
      <c r="C5" s="25">
        <f t="shared" si="1"/>
        <v>8</v>
      </c>
      <c r="D5" s="17">
        <f t="shared" si="2"/>
        <v>0.3333333333</v>
      </c>
      <c r="E5" s="25">
        <v>1.595777586E9</v>
      </c>
      <c r="F5" s="68">
        <f>IFERROR(__xludf.DUMMYFUNCTION("INDEX(SPLIT(E5, char(10)), 0, 1)/86400+date(1970,1,1)"),44038.647986111115)</f>
        <v>44038.64799</v>
      </c>
      <c r="G5" s="5" t="s">
        <v>1602</v>
      </c>
      <c r="H5" s="84" t="s">
        <v>1603</v>
      </c>
      <c r="I5" s="46" t="s">
        <v>14</v>
      </c>
    </row>
    <row r="6">
      <c r="A6" s="5" t="s">
        <v>14</v>
      </c>
      <c r="B6" s="5" t="s">
        <v>120</v>
      </c>
      <c r="C6" s="25">
        <f t="shared" si="1"/>
        <v>11</v>
      </c>
      <c r="D6" s="17">
        <f t="shared" si="2"/>
        <v>0.4583333333</v>
      </c>
      <c r="E6" s="25">
        <v>1.59577773E9</v>
      </c>
      <c r="F6" s="68">
        <f>IFERROR(__xludf.DUMMYFUNCTION("INDEX(SPLIT(E6, char(10)), 0, 1)/86400+date(1970,1,1)"),44038.64965277778)</f>
        <v>44038.64965</v>
      </c>
      <c r="G6" s="5" t="s">
        <v>1604</v>
      </c>
      <c r="H6" s="84" t="s">
        <v>1605</v>
      </c>
      <c r="I6" s="46" t="s">
        <v>13</v>
      </c>
    </row>
    <row r="7">
      <c r="A7" s="5"/>
      <c r="B7" s="5" t="s">
        <v>10</v>
      </c>
      <c r="C7" s="23">
        <f t="shared" ref="C7:D7" si="3">SUM(C2:C6)</f>
        <v>24</v>
      </c>
      <c r="D7" s="70">
        <f t="shared" si="3"/>
        <v>1</v>
      </c>
      <c r="E7" s="25">
        <v>1.595777826E9</v>
      </c>
      <c r="F7" s="68">
        <f>IFERROR(__xludf.DUMMYFUNCTION("INDEX(SPLIT(E7, char(10)), 0, 1)/86400+date(1970,1,1)"),44038.65076388889)</f>
        <v>44038.65076</v>
      </c>
      <c r="G7" s="5" t="s">
        <v>1606</v>
      </c>
      <c r="H7" s="84" t="s">
        <v>1607</v>
      </c>
      <c r="I7" s="46" t="s">
        <v>93</v>
      </c>
    </row>
    <row r="8">
      <c r="A8" s="71"/>
      <c r="B8" s="5" t="s">
        <v>15</v>
      </c>
      <c r="C8" s="25">
        <f t="shared" ref="C8:D8" si="4">SUM(C5:C6)</f>
        <v>19</v>
      </c>
      <c r="D8" s="17">
        <f t="shared" si="4"/>
        <v>0.7916666667</v>
      </c>
      <c r="E8" s="25">
        <v>1.595778161E9</v>
      </c>
      <c r="F8" s="68">
        <f>IFERROR(__xludf.DUMMYFUNCTION("INDEX(SPLIT(E8, char(10)), 0, 1)/86400+date(1970,1,1)"),44038.6546412037)</f>
        <v>44038.65464</v>
      </c>
      <c r="G8" s="5" t="s">
        <v>1250</v>
      </c>
      <c r="H8" s="84" t="s">
        <v>1608</v>
      </c>
      <c r="I8" s="46" t="s">
        <v>14</v>
      </c>
    </row>
    <row r="9">
      <c r="A9" s="71"/>
      <c r="B9" s="5" t="s">
        <v>127</v>
      </c>
      <c r="C9" s="25">
        <f>C2+C5+C6</f>
        <v>22</v>
      </c>
      <c r="D9" s="17">
        <f>SUM(D5:D6) + D2</f>
        <v>0.9166666667</v>
      </c>
      <c r="E9" s="25">
        <v>1.595778528E9</v>
      </c>
      <c r="F9" s="68">
        <f>IFERROR(__xludf.DUMMYFUNCTION("INDEX(SPLIT(E9, char(10)), 0, 1)/86400+date(1970,1,1)"),44038.65888888889)</f>
        <v>44038.65889</v>
      </c>
      <c r="G9" s="5" t="s">
        <v>1609</v>
      </c>
      <c r="H9" s="84" t="s">
        <v>1610</v>
      </c>
      <c r="I9" s="46" t="s">
        <v>12</v>
      </c>
    </row>
    <row r="10">
      <c r="A10" s="71"/>
      <c r="B10" s="71"/>
      <c r="C10" s="71"/>
      <c r="D10" s="71"/>
      <c r="E10" s="25">
        <v>1.595778673E9</v>
      </c>
      <c r="F10" s="68">
        <f>IFERROR(__xludf.DUMMYFUNCTION("INDEX(SPLIT(E10, char(10)), 0, 1)/86400+date(1970,1,1)"),44038.66056712963)</f>
        <v>44038.66057</v>
      </c>
      <c r="G10" s="5" t="s">
        <v>1611</v>
      </c>
      <c r="H10" s="84" t="s">
        <v>1612</v>
      </c>
      <c r="I10" s="46" t="s">
        <v>13</v>
      </c>
    </row>
    <row r="11">
      <c r="A11" s="71"/>
      <c r="B11" s="71"/>
      <c r="C11" s="71"/>
      <c r="D11" s="71"/>
      <c r="E11" s="25">
        <v>1.595779017E9</v>
      </c>
      <c r="F11" s="68">
        <f>IFERROR(__xludf.DUMMYFUNCTION("INDEX(SPLIT(E11, char(10)), 0, 1)/86400+date(1970,1,1)"),44038.66454861111)</f>
        <v>44038.66455</v>
      </c>
      <c r="G11" s="5" t="s">
        <v>1613</v>
      </c>
      <c r="H11" s="84" t="s">
        <v>1614</v>
      </c>
      <c r="I11" s="46" t="s">
        <v>14</v>
      </c>
    </row>
    <row r="12">
      <c r="A12" s="13" t="s">
        <v>134</v>
      </c>
      <c r="B12" s="85" t="s">
        <v>1615</v>
      </c>
      <c r="C12" s="71"/>
      <c r="D12" s="71"/>
      <c r="E12" s="25">
        <v>1.595779502E9</v>
      </c>
      <c r="F12" s="68">
        <f>IFERROR(__xludf.DUMMYFUNCTION("INDEX(SPLIT(E12, char(10)), 0, 1)/86400+date(1970,1,1)"),44038.67016203704)</f>
        <v>44038.67016</v>
      </c>
      <c r="G12" s="5" t="s">
        <v>1250</v>
      </c>
      <c r="H12" s="84" t="s">
        <v>1616</v>
      </c>
      <c r="I12" s="46" t="s">
        <v>12</v>
      </c>
    </row>
    <row r="13">
      <c r="A13" s="13" t="s">
        <v>138</v>
      </c>
      <c r="B13" s="71"/>
      <c r="C13" s="13" t="s">
        <v>101</v>
      </c>
      <c r="D13" s="13" t="s">
        <v>102</v>
      </c>
      <c r="E13" s="25">
        <v>1.595780359E9</v>
      </c>
      <c r="F13" s="68">
        <f>IFERROR(__xludf.DUMMYFUNCTION("INDEX(SPLIT(E13, char(10)), 0, 1)/86400+date(1970,1,1)"),44038.68008101852)</f>
        <v>44038.68008</v>
      </c>
      <c r="G13" s="5" t="s">
        <v>1617</v>
      </c>
      <c r="H13" s="84" t="s">
        <v>1618</v>
      </c>
      <c r="I13" s="46" t="s">
        <v>14</v>
      </c>
    </row>
    <row r="14">
      <c r="A14" s="5" t="s">
        <v>141</v>
      </c>
      <c r="B14" s="5" t="s">
        <v>142</v>
      </c>
      <c r="C14" s="23">
        <f t="shared" ref="C14:C17" si="5">COUNTIF($A$19:$A1000, A14)</f>
        <v>3</v>
      </c>
      <c r="D14" s="17">
        <f>IFERROR(__xludf.DUMMYFUNCTION("IF(C14, COUNTIF(FILTER($D$19:$D1000, $A$19:$A1000=A14), TRUE)/C14, 0)"),1.0)</f>
        <v>1</v>
      </c>
      <c r="E14" s="25">
        <v>1.595780548E9</v>
      </c>
      <c r="F14" s="68">
        <f>IFERROR(__xludf.DUMMYFUNCTION("INDEX(SPLIT(E14, char(10)), 0, 1)/86400+date(1970,1,1)"),44038.68226851852)</f>
        <v>44038.68227</v>
      </c>
      <c r="G14" s="5" t="s">
        <v>1619</v>
      </c>
      <c r="H14" s="84" t="s">
        <v>1620</v>
      </c>
      <c r="I14" s="46" t="s">
        <v>13</v>
      </c>
    </row>
    <row r="15">
      <c r="A15" s="5" t="s">
        <v>3</v>
      </c>
      <c r="B15" s="5" t="s">
        <v>145</v>
      </c>
      <c r="C15" s="23">
        <f t="shared" si="5"/>
        <v>7</v>
      </c>
      <c r="D15" s="17">
        <f>IFERROR(__xludf.DUMMYFUNCTION("IF(C15, COUNTIF(FILTER($D$19:$D1000, $A$19:$A1000=A15), TRUE)/C15, 0)"),0.42857142857142855)</f>
        <v>0.4285714286</v>
      </c>
      <c r="E15" s="25">
        <v>1.595780818E9</v>
      </c>
      <c r="F15" s="68">
        <f>IFERROR(__xludf.DUMMYFUNCTION("INDEX(SPLIT(E15, char(10)), 0, 1)/86400+date(1970,1,1)"),44038.68539351852)</f>
        <v>44038.68539</v>
      </c>
      <c r="G15" s="5" t="s">
        <v>1621</v>
      </c>
      <c r="H15" s="84" t="s">
        <v>1622</v>
      </c>
      <c r="I15" s="46" t="s">
        <v>14</v>
      </c>
    </row>
    <row r="16">
      <c r="A16" s="5" t="s">
        <v>4</v>
      </c>
      <c r="B16" s="5" t="s">
        <v>148</v>
      </c>
      <c r="C16" s="23">
        <f t="shared" si="5"/>
        <v>4</v>
      </c>
      <c r="D16" s="17">
        <f>IFERROR(__xludf.DUMMYFUNCTION("IF(C16, COUNTIF(FILTER($D$19:$D1000, $A$19:$A1000=A16), TRUE)/C16, 0)"),0.25)</f>
        <v>0.25</v>
      </c>
      <c r="E16" s="25">
        <v>1.595780925E9</v>
      </c>
      <c r="F16" s="68">
        <f>IFERROR(__xludf.DUMMYFUNCTION("INDEX(SPLIT(E16, char(10)), 0, 1)/86400+date(1970,1,1)"),44038.686631944445)</f>
        <v>44038.68663</v>
      </c>
      <c r="G16" s="5" t="s">
        <v>1623</v>
      </c>
      <c r="H16" s="84" t="s">
        <v>1624</v>
      </c>
      <c r="I16" s="46" t="s">
        <v>13</v>
      </c>
    </row>
    <row r="17">
      <c r="A17" s="5" t="s">
        <v>5</v>
      </c>
      <c r="B17" s="5" t="s">
        <v>151</v>
      </c>
      <c r="C17" s="23">
        <f t="shared" si="5"/>
        <v>9</v>
      </c>
      <c r="D17" s="17">
        <f>IFERROR(__xludf.DUMMYFUNCTION("IF(C17, COUNTIF(FILTER($D$19:$D1000, $A$19:$A1000=A17), TRUE)/C17, 0)"),0.1111111111111111)</f>
        <v>0.1111111111</v>
      </c>
      <c r="E17" s="25">
        <v>1.595781108E9</v>
      </c>
      <c r="F17" s="68">
        <f>IFERROR(__xludf.DUMMYFUNCTION("INDEX(SPLIT(E17, char(10)), 0, 1)/86400+date(1970,1,1)"),44038.68875)</f>
        <v>44038.68875</v>
      </c>
      <c r="G17" s="5" t="s">
        <v>1625</v>
      </c>
      <c r="H17" s="84" t="s">
        <v>1626</v>
      </c>
      <c r="I17" s="46" t="s">
        <v>14</v>
      </c>
    </row>
    <row r="18">
      <c r="A18" s="71"/>
      <c r="B18" s="13" t="s">
        <v>6</v>
      </c>
      <c r="C18" s="23">
        <f>SUM(C14:C17)</f>
        <v>23</v>
      </c>
      <c r="D18" s="17">
        <f>COUNTIF($D$19:$D1000, TRUE)/SUM($C$14:$C$17)</f>
        <v>0.347826087</v>
      </c>
      <c r="E18" s="25">
        <v>1.595781258E9</v>
      </c>
      <c r="F18" s="68">
        <f>IFERROR(__xludf.DUMMYFUNCTION("INDEX(SPLIT(E18, char(10)), 0, 1)/86400+date(1970,1,1)"),44038.69048611111)</f>
        <v>44038.69049</v>
      </c>
      <c r="G18" s="5" t="s">
        <v>1627</v>
      </c>
      <c r="H18" s="84" t="s">
        <v>1628</v>
      </c>
      <c r="I18" s="46" t="s">
        <v>13</v>
      </c>
    </row>
    <row r="19">
      <c r="A19" s="5" t="s">
        <v>4</v>
      </c>
      <c r="B19" s="5" t="s">
        <v>161</v>
      </c>
      <c r="C19" s="25">
        <v>1.0</v>
      </c>
      <c r="D19" s="79" t="b">
        <v>0</v>
      </c>
      <c r="E19" s="25">
        <v>1.595781367E9</v>
      </c>
      <c r="F19" s="68">
        <f>IFERROR(__xludf.DUMMYFUNCTION("INDEX(SPLIT(E19, char(10)), 0, 1)/86400+date(1970,1,1)"),44038.69174768518)</f>
        <v>44038.69175</v>
      </c>
      <c r="G19" s="5" t="s">
        <v>1629</v>
      </c>
      <c r="H19" s="84" t="s">
        <v>1630</v>
      </c>
      <c r="I19" s="46" t="s">
        <v>93</v>
      </c>
    </row>
    <row r="20">
      <c r="A20" s="5" t="s">
        <v>3</v>
      </c>
      <c r="B20" s="5" t="s">
        <v>1283</v>
      </c>
      <c r="C20" s="25">
        <v>9.0</v>
      </c>
      <c r="D20" s="79" t="b">
        <v>1</v>
      </c>
      <c r="E20" s="25">
        <v>1.595781534E9</v>
      </c>
      <c r="F20" s="68">
        <f>IFERROR(__xludf.DUMMYFUNCTION("INDEX(SPLIT(E20, char(10)), 0, 1)/86400+date(1970,1,1)"),44038.69368055556)</f>
        <v>44038.69368</v>
      </c>
      <c r="G20" s="5" t="s">
        <v>1631</v>
      </c>
      <c r="H20" s="84" t="s">
        <v>1632</v>
      </c>
      <c r="I20" s="46" t="s">
        <v>93</v>
      </c>
    </row>
    <row r="21">
      <c r="A21" s="5" t="s">
        <v>141</v>
      </c>
      <c r="B21" s="5" t="s">
        <v>1286</v>
      </c>
      <c r="C21" s="25">
        <v>33.0</v>
      </c>
      <c r="D21" s="79" t="b">
        <v>1</v>
      </c>
      <c r="E21" s="25">
        <v>1.595781726E9</v>
      </c>
      <c r="F21" s="68">
        <f>IFERROR(__xludf.DUMMYFUNCTION("INDEX(SPLIT(E21, char(10)), 0, 1)/86400+date(1970,1,1)"),44038.69590277778)</f>
        <v>44038.6959</v>
      </c>
      <c r="G21" s="5" t="s">
        <v>1633</v>
      </c>
      <c r="H21" s="84" t="s">
        <v>1634</v>
      </c>
      <c r="I21" s="46" t="s">
        <v>14</v>
      </c>
    </row>
    <row r="22">
      <c r="A22" s="5" t="s">
        <v>4</v>
      </c>
      <c r="B22" s="5" t="s">
        <v>167</v>
      </c>
      <c r="C22" s="25">
        <v>45.0</v>
      </c>
      <c r="D22" s="79" t="b">
        <v>1</v>
      </c>
      <c r="E22" s="25">
        <v>1.595782317E9</v>
      </c>
      <c r="F22" s="68">
        <f>IFERROR(__xludf.DUMMYFUNCTION("INDEX(SPLIT(E22, char(10)), 0, 1)/86400+date(1970,1,1)"),44038.70274305556)</f>
        <v>44038.70274</v>
      </c>
      <c r="G22" s="5" t="s">
        <v>1635</v>
      </c>
      <c r="H22" s="84" t="s">
        <v>1636</v>
      </c>
      <c r="I22" s="46" t="s">
        <v>14</v>
      </c>
    </row>
    <row r="23">
      <c r="A23" s="5" t="s">
        <v>4</v>
      </c>
      <c r="B23" s="5" t="s">
        <v>170</v>
      </c>
      <c r="C23" s="25">
        <v>45.0</v>
      </c>
      <c r="D23" s="79" t="b">
        <v>0</v>
      </c>
      <c r="E23" s="25">
        <v>1.595782432E9</v>
      </c>
      <c r="F23" s="68">
        <f>IFERROR(__xludf.DUMMYFUNCTION("INDEX(SPLIT(E23, char(10)), 0, 1)/86400+date(1970,1,1)"),44038.70407407408)</f>
        <v>44038.70407</v>
      </c>
      <c r="G23" s="5" t="s">
        <v>1637</v>
      </c>
      <c r="H23" s="84" t="s">
        <v>1638</v>
      </c>
      <c r="I23" s="46" t="s">
        <v>13</v>
      </c>
    </row>
    <row r="24">
      <c r="A24" s="5" t="s">
        <v>5</v>
      </c>
      <c r="B24" s="5" t="s">
        <v>1293</v>
      </c>
      <c r="C24" s="25">
        <v>58.0</v>
      </c>
      <c r="D24" s="79" t="b">
        <v>0</v>
      </c>
      <c r="E24" s="25">
        <v>1.595782585E9</v>
      </c>
      <c r="F24" s="68">
        <f>IFERROR(__xludf.DUMMYFUNCTION("INDEX(SPLIT(E24, char(10)), 0, 1)/86400+date(1970,1,1)"),44038.70584490741)</f>
        <v>44038.70584</v>
      </c>
      <c r="G24" s="5" t="s">
        <v>1639</v>
      </c>
      <c r="H24" s="84" t="s">
        <v>1640</v>
      </c>
      <c r="I24" s="46" t="s">
        <v>13</v>
      </c>
    </row>
    <row r="25">
      <c r="A25" s="5" t="s">
        <v>3</v>
      </c>
      <c r="B25" s="71" t="s">
        <v>1296</v>
      </c>
      <c r="C25" s="25">
        <v>63.0</v>
      </c>
      <c r="D25" s="79" t="b">
        <v>1</v>
      </c>
      <c r="E25" s="25">
        <v>1.595782747E9</v>
      </c>
      <c r="F25" s="68">
        <f>IFERROR(__xludf.DUMMYFUNCTION("INDEX(SPLIT(E25, char(10)), 0, 1)/86400+date(1970,1,1)"),44038.70771990741)</f>
        <v>44038.70772</v>
      </c>
      <c r="G25" s="5" t="s">
        <v>1641</v>
      </c>
      <c r="H25" s="84" t="s">
        <v>1642</v>
      </c>
      <c r="I25" s="46" t="s">
        <v>14</v>
      </c>
    </row>
    <row r="26">
      <c r="A26" s="5" t="s">
        <v>3</v>
      </c>
      <c r="B26" s="71" t="s">
        <v>1299</v>
      </c>
      <c r="C26" s="25">
        <v>69.0</v>
      </c>
      <c r="D26" s="79" t="b">
        <v>0</v>
      </c>
      <c r="E26" s="83"/>
      <c r="F26" s="68"/>
      <c r="G26" s="84"/>
      <c r="H26" s="84"/>
      <c r="I26" s="46"/>
    </row>
    <row r="27">
      <c r="A27" s="5" t="s">
        <v>141</v>
      </c>
      <c r="B27" s="71" t="s">
        <v>1302</v>
      </c>
      <c r="C27" s="25">
        <v>70.0</v>
      </c>
      <c r="D27" s="79" t="b">
        <v>1</v>
      </c>
      <c r="E27" s="83"/>
      <c r="F27" s="68"/>
      <c r="G27" s="84"/>
      <c r="H27" s="84"/>
      <c r="I27" s="46"/>
    </row>
    <row r="28">
      <c r="A28" s="5" t="s">
        <v>5</v>
      </c>
      <c r="B28" s="71" t="s">
        <v>1305</v>
      </c>
      <c r="C28" s="25">
        <v>73.0</v>
      </c>
      <c r="D28" s="79" t="b">
        <v>0</v>
      </c>
      <c r="E28" s="83"/>
      <c r="F28" s="68"/>
      <c r="G28" s="84"/>
      <c r="H28" s="84"/>
      <c r="I28" s="46"/>
    </row>
    <row r="29">
      <c r="A29" s="5" t="s">
        <v>5</v>
      </c>
      <c r="B29" s="71" t="s">
        <v>1308</v>
      </c>
      <c r="C29" s="25">
        <v>73.0</v>
      </c>
      <c r="D29" s="79" t="b">
        <v>0</v>
      </c>
      <c r="E29" s="87"/>
      <c r="F29" s="68"/>
      <c r="G29" s="84"/>
      <c r="H29" s="84"/>
      <c r="I29" s="46"/>
    </row>
    <row r="30">
      <c r="A30" s="5" t="s">
        <v>5</v>
      </c>
      <c r="B30" s="71" t="s">
        <v>1311</v>
      </c>
      <c r="C30" s="25">
        <v>73.0</v>
      </c>
      <c r="D30" s="79" t="b">
        <v>0</v>
      </c>
      <c r="E30" s="78"/>
      <c r="F30" s="68"/>
      <c r="G30" s="84"/>
      <c r="H30" s="84"/>
      <c r="I30" s="46"/>
    </row>
    <row r="31">
      <c r="A31" s="5" t="s">
        <v>5</v>
      </c>
      <c r="B31" s="71" t="s">
        <v>1314</v>
      </c>
      <c r="C31" s="25">
        <v>77.0</v>
      </c>
      <c r="D31" s="79" t="b">
        <v>1</v>
      </c>
      <c r="E31" s="87"/>
      <c r="F31" s="68"/>
      <c r="G31" s="84"/>
      <c r="H31" s="84"/>
      <c r="I31" s="46"/>
    </row>
    <row r="32">
      <c r="A32" s="5" t="s">
        <v>3</v>
      </c>
      <c r="B32" s="71" t="s">
        <v>1317</v>
      </c>
      <c r="C32" s="25">
        <v>83.0</v>
      </c>
      <c r="D32" s="79" t="b">
        <v>0</v>
      </c>
      <c r="E32" s="87"/>
      <c r="F32" s="68"/>
      <c r="G32" s="84"/>
      <c r="H32" s="84"/>
      <c r="I32" s="46"/>
    </row>
    <row r="33">
      <c r="A33" s="5" t="s">
        <v>5</v>
      </c>
      <c r="B33" s="71" t="s">
        <v>1320</v>
      </c>
      <c r="C33" s="25">
        <v>86.0</v>
      </c>
      <c r="D33" s="79" t="b">
        <v>0</v>
      </c>
      <c r="E33" s="87"/>
      <c r="F33" s="68"/>
      <c r="G33" s="84"/>
      <c r="H33" s="84"/>
      <c r="I33" s="46"/>
    </row>
    <row r="34">
      <c r="A34" s="5" t="s">
        <v>5</v>
      </c>
      <c r="B34" s="71" t="s">
        <v>1323</v>
      </c>
      <c r="C34" s="25">
        <v>88.0</v>
      </c>
      <c r="D34" s="79" t="b">
        <v>0</v>
      </c>
      <c r="E34" s="87"/>
      <c r="F34" s="68"/>
      <c r="G34" s="84"/>
      <c r="H34" s="84"/>
      <c r="I34" s="46"/>
    </row>
    <row r="35">
      <c r="A35" s="5" t="s">
        <v>3</v>
      </c>
      <c r="B35" s="71" t="s">
        <v>1326</v>
      </c>
      <c r="C35" s="25">
        <v>90.0</v>
      </c>
      <c r="D35" s="79" t="b">
        <v>0</v>
      </c>
      <c r="E35" s="87"/>
      <c r="F35" s="68"/>
      <c r="G35" s="84"/>
      <c r="H35" s="84"/>
      <c r="I35" s="46"/>
    </row>
    <row r="36">
      <c r="A36" s="5" t="s">
        <v>3</v>
      </c>
      <c r="B36" s="71" t="s">
        <v>1329</v>
      </c>
      <c r="C36" s="25">
        <v>92.0</v>
      </c>
      <c r="D36" s="79" t="b">
        <v>0</v>
      </c>
      <c r="E36" s="87"/>
      <c r="F36" s="68"/>
      <c r="G36" s="84"/>
      <c r="H36" s="84"/>
      <c r="I36" s="46"/>
    </row>
    <row r="37">
      <c r="A37" s="5" t="s">
        <v>3</v>
      </c>
      <c r="B37" s="71" t="s">
        <v>1332</v>
      </c>
      <c r="C37" s="25">
        <v>94.0</v>
      </c>
      <c r="D37" s="79" t="b">
        <v>1</v>
      </c>
      <c r="E37" s="87"/>
      <c r="F37" s="68"/>
      <c r="G37" s="84"/>
      <c r="H37" s="84"/>
      <c r="I37" s="46"/>
    </row>
    <row r="38">
      <c r="A38" s="5" t="s">
        <v>5</v>
      </c>
      <c r="B38" s="71" t="s">
        <v>1335</v>
      </c>
      <c r="C38" s="25">
        <v>97.0</v>
      </c>
      <c r="D38" s="79" t="b">
        <v>0</v>
      </c>
      <c r="E38" s="87"/>
      <c r="F38" s="68"/>
      <c r="G38" s="84"/>
      <c r="H38" s="84"/>
      <c r="I38" s="46"/>
    </row>
    <row r="39">
      <c r="A39" s="5" t="s">
        <v>5</v>
      </c>
      <c r="B39" s="71" t="s">
        <v>1338</v>
      </c>
      <c r="C39" s="25">
        <v>97.0</v>
      </c>
      <c r="D39" s="79" t="b">
        <v>0</v>
      </c>
      <c r="E39" s="87"/>
      <c r="F39" s="68"/>
      <c r="G39" s="84"/>
      <c r="H39" s="84"/>
      <c r="I39" s="46"/>
    </row>
    <row r="40">
      <c r="A40" s="5" t="s">
        <v>141</v>
      </c>
      <c r="B40" s="71" t="s">
        <v>1341</v>
      </c>
      <c r="C40" s="25">
        <v>98.0</v>
      </c>
      <c r="D40" s="79" t="b">
        <v>1</v>
      </c>
      <c r="E40" s="95"/>
      <c r="F40" s="68"/>
      <c r="G40" s="84"/>
      <c r="H40" s="84"/>
      <c r="I40" s="46"/>
    </row>
    <row r="41">
      <c r="A41" s="5" t="s">
        <v>4</v>
      </c>
      <c r="B41" s="71" t="s">
        <v>195</v>
      </c>
      <c r="C41" s="25">
        <v>90.0</v>
      </c>
      <c r="D41" s="100" t="b">
        <v>0</v>
      </c>
      <c r="E41" s="95"/>
      <c r="F41" s="68"/>
      <c r="G41" s="5"/>
      <c r="H41" s="5"/>
      <c r="I41" s="46"/>
    </row>
    <row r="42">
      <c r="A42" s="5"/>
      <c r="B42" s="71"/>
      <c r="C42" s="5"/>
      <c r="D42" s="5"/>
      <c r="E42" s="71"/>
      <c r="F42" s="68"/>
      <c r="H42" s="5"/>
      <c r="I42" s="52"/>
    </row>
    <row r="43">
      <c r="A43" s="7"/>
      <c r="B43" s="7"/>
      <c r="C43" s="7"/>
      <c r="D43" s="7"/>
      <c r="E43" s="5"/>
      <c r="F43" s="98"/>
      <c r="H43" s="5"/>
      <c r="I43" s="52"/>
    </row>
    <row r="44">
      <c r="A44" s="25"/>
      <c r="B44" s="25"/>
      <c r="C44" s="5"/>
      <c r="D44" s="5"/>
      <c r="E44" s="101"/>
      <c r="H44" s="5"/>
    </row>
    <row r="45">
      <c r="A45" s="25"/>
      <c r="B45" s="25"/>
      <c r="C45" s="5"/>
      <c r="D45" s="5"/>
      <c r="E45" s="101"/>
      <c r="H45" s="5"/>
    </row>
    <row r="46">
      <c r="A46" s="25"/>
      <c r="B46" s="25"/>
      <c r="C46" s="5"/>
      <c r="D46" s="5"/>
      <c r="E46" s="101"/>
      <c r="H46" s="5"/>
    </row>
    <row r="47">
      <c r="A47" s="25"/>
      <c r="B47" s="25"/>
      <c r="C47" s="5"/>
      <c r="D47" s="5"/>
      <c r="E47" s="101"/>
      <c r="H47" s="5"/>
    </row>
    <row r="48">
      <c r="A48" s="25"/>
      <c r="B48" s="25"/>
      <c r="C48" s="5"/>
      <c r="D48" s="5"/>
      <c r="E48" s="101"/>
      <c r="H48" s="5"/>
    </row>
    <row r="49">
      <c r="A49" s="25"/>
      <c r="B49" s="25"/>
      <c r="C49" s="5"/>
      <c r="D49" s="5"/>
      <c r="E49" s="101"/>
      <c r="H49" s="5"/>
    </row>
    <row r="50">
      <c r="A50" s="25"/>
      <c r="B50" s="25"/>
      <c r="C50" s="5"/>
      <c r="D50" s="5"/>
      <c r="E50" s="101"/>
      <c r="H50" s="5"/>
    </row>
    <row r="51">
      <c r="A51" s="25"/>
      <c r="B51" s="25"/>
      <c r="C51" s="5"/>
      <c r="D51" s="5"/>
      <c r="E51" s="101"/>
      <c r="H51" s="5"/>
    </row>
    <row r="52">
      <c r="A52" s="25"/>
      <c r="B52" s="25"/>
      <c r="C52" s="5"/>
      <c r="D52" s="5"/>
      <c r="E52" s="101"/>
      <c r="H52" s="5"/>
    </row>
    <row r="53">
      <c r="A53" s="25"/>
      <c r="B53" s="25"/>
      <c r="C53" s="5"/>
      <c r="D53" s="5"/>
      <c r="E53" s="101"/>
      <c r="H53" s="5"/>
    </row>
    <row r="54">
      <c r="A54" s="25"/>
      <c r="B54" s="25"/>
      <c r="C54" s="5"/>
      <c r="D54" s="5"/>
      <c r="E54" s="101"/>
      <c r="H54" s="5"/>
    </row>
    <row r="55">
      <c r="A55" s="25"/>
      <c r="B55" s="25"/>
      <c r="C55" s="5"/>
      <c r="D55" s="5"/>
      <c r="E55" s="101"/>
      <c r="H55" s="5"/>
    </row>
    <row r="56">
      <c r="A56" s="25"/>
      <c r="B56" s="25"/>
      <c r="C56" s="5"/>
      <c r="D56" s="5"/>
      <c r="E56" s="101"/>
      <c r="H56" s="5"/>
    </row>
    <row r="57">
      <c r="A57" s="25"/>
      <c r="B57" s="25"/>
      <c r="C57" s="5"/>
      <c r="D57" s="5"/>
      <c r="E57" s="101"/>
      <c r="H57" s="5"/>
    </row>
    <row r="58">
      <c r="A58" s="25"/>
      <c r="B58" s="25"/>
      <c r="C58" s="5"/>
      <c r="D58" s="5"/>
      <c r="E58" s="101"/>
      <c r="H58" s="5"/>
    </row>
    <row r="59">
      <c r="A59" s="25"/>
      <c r="B59" s="25"/>
      <c r="C59" s="5"/>
      <c r="D59" s="5"/>
      <c r="E59" s="101"/>
      <c r="H59" s="5"/>
    </row>
    <row r="60">
      <c r="A60" s="25"/>
      <c r="B60" s="25"/>
      <c r="C60" s="5"/>
      <c r="D60" s="5"/>
      <c r="E60" s="101"/>
      <c r="H60" s="5"/>
    </row>
    <row r="61">
      <c r="A61" s="25"/>
      <c r="B61" s="25"/>
      <c r="C61" s="5"/>
      <c r="D61" s="5"/>
      <c r="E61" s="101"/>
      <c r="H61" s="5"/>
    </row>
    <row r="62">
      <c r="A62" s="25"/>
      <c r="B62" s="25"/>
      <c r="C62" s="5"/>
      <c r="D62" s="5"/>
      <c r="E62" s="101"/>
      <c r="H62" s="5"/>
    </row>
    <row r="63">
      <c r="A63" s="25"/>
      <c r="B63" s="25"/>
      <c r="C63" s="5"/>
      <c r="D63" s="5"/>
      <c r="E63" s="101"/>
      <c r="H63" s="5"/>
    </row>
    <row r="64">
      <c r="A64" s="25"/>
      <c r="B64" s="25"/>
      <c r="C64" s="5"/>
      <c r="D64" s="5"/>
      <c r="E64" s="101"/>
      <c r="H64" s="5"/>
    </row>
    <row r="65">
      <c r="A65" s="25"/>
      <c r="B65" s="25"/>
      <c r="C65" s="5"/>
      <c r="D65" s="5"/>
      <c r="E65" s="101"/>
      <c r="H65" s="5"/>
    </row>
    <row r="66">
      <c r="A66" s="25"/>
      <c r="B66" s="25"/>
      <c r="C66" s="5"/>
      <c r="D66" s="5"/>
      <c r="E66" s="101"/>
      <c r="H66" s="5"/>
    </row>
    <row r="67">
      <c r="A67" s="25"/>
      <c r="B67" s="25"/>
      <c r="C67" s="5"/>
      <c r="D67" s="5"/>
      <c r="E67" s="101"/>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3</v>
      </c>
      <c r="D2" s="17">
        <f t="shared" ref="D2:D6" si="2">C2/COUNTA(I$2:I1000)</f>
        <v>0.1</v>
      </c>
      <c r="E2" s="83">
        <v>1.595776206E9</v>
      </c>
      <c r="F2" s="68">
        <f>IFERROR(__xludf.DUMMYFUNCTION("INDEX(SPLIT(E2, char(10)), 0, 1)/86400+date(1970,1,1)"),44038.632013888884)</f>
        <v>44038.63201</v>
      </c>
      <c r="G2" s="84" t="s">
        <v>1643</v>
      </c>
      <c r="H2" s="84" t="s">
        <v>1644</v>
      </c>
      <c r="I2" s="46" t="s">
        <v>13</v>
      </c>
    </row>
    <row r="3">
      <c r="A3" s="5" t="s">
        <v>11</v>
      </c>
      <c r="B3" s="5" t="s">
        <v>111</v>
      </c>
      <c r="C3" s="25">
        <f t="shared" si="1"/>
        <v>3</v>
      </c>
      <c r="D3" s="17">
        <f t="shared" si="2"/>
        <v>0.1</v>
      </c>
      <c r="E3" s="83">
        <v>1.595776314E9</v>
      </c>
      <c r="F3" s="68">
        <f>IFERROR(__xludf.DUMMYFUNCTION("INDEX(SPLIT(E3, char(10)), 0, 1)/86400+date(1970,1,1)"),44038.633263888885)</f>
        <v>44038.63326</v>
      </c>
      <c r="G3" s="84" t="s">
        <v>1250</v>
      </c>
      <c r="H3" s="84" t="s">
        <v>1645</v>
      </c>
      <c r="I3" s="46" t="s">
        <v>14</v>
      </c>
    </row>
    <row r="4">
      <c r="A4" s="5" t="s">
        <v>12</v>
      </c>
      <c r="B4" s="5" t="s">
        <v>114</v>
      </c>
      <c r="C4" s="25">
        <f t="shared" si="1"/>
        <v>4</v>
      </c>
      <c r="D4" s="17">
        <f t="shared" si="2"/>
        <v>0.1333333333</v>
      </c>
      <c r="E4" s="83">
        <v>1.595776515E9</v>
      </c>
      <c r="F4" s="68">
        <f>IFERROR(__xludf.DUMMYFUNCTION("INDEX(SPLIT(E4, char(10)), 0, 1)/86400+date(1970,1,1)"),44038.63559027778)</f>
        <v>44038.63559</v>
      </c>
      <c r="G4" s="84" t="s">
        <v>1372</v>
      </c>
      <c r="H4" s="84" t="s">
        <v>1646</v>
      </c>
      <c r="I4" s="46" t="s">
        <v>14</v>
      </c>
    </row>
    <row r="5">
      <c r="A5" s="5" t="s">
        <v>13</v>
      </c>
      <c r="B5" s="5" t="s">
        <v>117</v>
      </c>
      <c r="C5" s="25">
        <f t="shared" si="1"/>
        <v>9</v>
      </c>
      <c r="D5" s="17">
        <f t="shared" si="2"/>
        <v>0.3</v>
      </c>
      <c r="E5" s="83">
        <v>1.595777159E9</v>
      </c>
      <c r="F5" s="68">
        <f>IFERROR(__xludf.DUMMYFUNCTION("INDEX(SPLIT(E5, char(10)), 0, 1)/86400+date(1970,1,1)"),44038.64304398149)</f>
        <v>44038.64304</v>
      </c>
      <c r="G5" s="84" t="s">
        <v>1647</v>
      </c>
      <c r="H5" s="84" t="s">
        <v>1648</v>
      </c>
      <c r="I5" s="46" t="s">
        <v>11</v>
      </c>
    </row>
    <row r="6">
      <c r="A6" s="5" t="s">
        <v>14</v>
      </c>
      <c r="B6" s="5" t="s">
        <v>120</v>
      </c>
      <c r="C6" s="25">
        <f t="shared" si="1"/>
        <v>11</v>
      </c>
      <c r="D6" s="17">
        <f t="shared" si="2"/>
        <v>0.3666666667</v>
      </c>
      <c r="E6" s="83">
        <v>1.595777325E9</v>
      </c>
      <c r="F6" s="68">
        <f>IFERROR(__xludf.DUMMYFUNCTION("INDEX(SPLIT(E6, char(10)), 0, 1)/86400+date(1970,1,1)"),44038.64496527778)</f>
        <v>44038.64497</v>
      </c>
      <c r="G6" s="84" t="s">
        <v>1250</v>
      </c>
      <c r="H6" s="84" t="s">
        <v>1649</v>
      </c>
      <c r="I6" s="46" t="s">
        <v>12</v>
      </c>
    </row>
    <row r="7">
      <c r="A7" s="5"/>
      <c r="B7" s="5" t="s">
        <v>10</v>
      </c>
      <c r="C7" s="23">
        <f t="shared" ref="C7:D7" si="3">SUM(C2:C6)</f>
        <v>30</v>
      </c>
      <c r="D7" s="70">
        <f t="shared" si="3"/>
        <v>1</v>
      </c>
      <c r="E7" s="83">
        <v>1.595777573E9</v>
      </c>
      <c r="F7" s="68">
        <f>IFERROR(__xludf.DUMMYFUNCTION("INDEX(SPLIT(E7, char(10)), 0, 1)/86400+date(1970,1,1)"),44038.64783564815)</f>
        <v>44038.64784</v>
      </c>
      <c r="G7" s="84" t="s">
        <v>1650</v>
      </c>
      <c r="H7" s="84" t="s">
        <v>1651</v>
      </c>
      <c r="I7" s="46" t="s">
        <v>13</v>
      </c>
    </row>
    <row r="8">
      <c r="A8" s="71"/>
      <c r="B8" s="5" t="s">
        <v>15</v>
      </c>
      <c r="C8" s="25">
        <f t="shared" ref="C8:D8" si="4">SUM(C5:C6)</f>
        <v>20</v>
      </c>
      <c r="D8" s="17">
        <f t="shared" si="4"/>
        <v>0.6666666667</v>
      </c>
      <c r="E8" s="83">
        <v>1.595777728E9</v>
      </c>
      <c r="F8" s="68">
        <f>IFERROR(__xludf.DUMMYFUNCTION("INDEX(SPLIT(E8, char(10)), 0, 1)/86400+date(1970,1,1)"),44038.649629629625)</f>
        <v>44038.64963</v>
      </c>
      <c r="G8" s="84" t="s">
        <v>1652</v>
      </c>
      <c r="H8" s="84" t="s">
        <v>1653</v>
      </c>
      <c r="I8" s="46" t="s">
        <v>14</v>
      </c>
    </row>
    <row r="9">
      <c r="A9" s="71"/>
      <c r="B9" s="5" t="s">
        <v>127</v>
      </c>
      <c r="C9" s="25">
        <f>C2+C5+C6</f>
        <v>23</v>
      </c>
      <c r="D9" s="17">
        <f>SUM(D5:D6) + D2</f>
        <v>0.7666666667</v>
      </c>
      <c r="E9" s="83">
        <v>1.595777826E9</v>
      </c>
      <c r="F9" s="68">
        <f>IFERROR(__xludf.DUMMYFUNCTION("INDEX(SPLIT(E9, char(10)), 0, 1)/86400+date(1970,1,1)"),44038.65076388889)</f>
        <v>44038.65076</v>
      </c>
      <c r="G9" s="84" t="s">
        <v>1281</v>
      </c>
      <c r="H9" s="84" t="s">
        <v>1654</v>
      </c>
      <c r="I9" s="46" t="s">
        <v>93</v>
      </c>
    </row>
    <row r="10">
      <c r="A10" s="71"/>
      <c r="B10" s="71"/>
      <c r="C10" s="71"/>
      <c r="D10" s="71"/>
      <c r="E10" s="83">
        <v>1.595778151E9</v>
      </c>
      <c r="F10" s="68">
        <f>IFERROR(__xludf.DUMMYFUNCTION("INDEX(SPLIT(E10, char(10)), 0, 1)/86400+date(1970,1,1)"),44038.65452546296)</f>
        <v>44038.65453</v>
      </c>
      <c r="G10" s="84" t="s">
        <v>1250</v>
      </c>
      <c r="H10" s="84" t="s">
        <v>1655</v>
      </c>
      <c r="I10" s="46" t="s">
        <v>14</v>
      </c>
    </row>
    <row r="11">
      <c r="A11" s="71"/>
      <c r="B11" s="71"/>
      <c r="C11" s="71"/>
      <c r="D11" s="71"/>
      <c r="E11" s="83">
        <v>1.595778537E9</v>
      </c>
      <c r="F11" s="68">
        <f>IFERROR(__xludf.DUMMYFUNCTION("INDEX(SPLIT(E11, char(10)), 0, 1)/86400+date(1970,1,1)"),44038.65899305556)</f>
        <v>44038.65899</v>
      </c>
      <c r="G11" s="84" t="s">
        <v>562</v>
      </c>
      <c r="H11" s="84" t="s">
        <v>1656</v>
      </c>
      <c r="I11" s="46" t="s">
        <v>14</v>
      </c>
    </row>
    <row r="12">
      <c r="A12" s="13" t="s">
        <v>134</v>
      </c>
      <c r="B12" s="85" t="s">
        <v>1657</v>
      </c>
      <c r="C12" s="71"/>
      <c r="D12" s="71"/>
      <c r="E12" s="83">
        <v>1.59577896E9</v>
      </c>
      <c r="F12" s="68">
        <f>IFERROR(__xludf.DUMMYFUNCTION("INDEX(SPLIT(E12, char(10)), 0, 1)/86400+date(1970,1,1)"),44038.663888888885)</f>
        <v>44038.66389</v>
      </c>
      <c r="G12" s="84" t="s">
        <v>1658</v>
      </c>
      <c r="H12" s="84" t="s">
        <v>1659</v>
      </c>
      <c r="I12" s="46" t="s">
        <v>12</v>
      </c>
    </row>
    <row r="13">
      <c r="A13" s="13" t="s">
        <v>138</v>
      </c>
      <c r="B13" s="71"/>
      <c r="C13" s="13" t="s">
        <v>101</v>
      </c>
      <c r="D13" s="13" t="s">
        <v>102</v>
      </c>
      <c r="E13" s="83">
        <v>1.595779146E9</v>
      </c>
      <c r="F13" s="68">
        <f>IFERROR(__xludf.DUMMYFUNCTION("INDEX(SPLIT(E13, char(10)), 0, 1)/86400+date(1970,1,1)"),44038.66604166667)</f>
        <v>44038.66604</v>
      </c>
      <c r="G13" s="84" t="s">
        <v>1540</v>
      </c>
      <c r="H13" s="84" t="s">
        <v>1660</v>
      </c>
      <c r="I13" s="46" t="s">
        <v>93</v>
      </c>
    </row>
    <row r="14">
      <c r="A14" s="5" t="s">
        <v>141</v>
      </c>
      <c r="B14" s="5" t="s">
        <v>142</v>
      </c>
      <c r="C14" s="23">
        <f t="shared" ref="C14:C17" si="5">COUNTIF($A$19:$A1000, A14)</f>
        <v>3</v>
      </c>
      <c r="D14" s="17">
        <f>IFERROR(__xludf.DUMMYFUNCTION("IF(C14, COUNTIF(FILTER($D$19:$D1000, $A$19:$A1000=A14), TRUE)/C14, 0)"),1.0)</f>
        <v>1</v>
      </c>
      <c r="E14" s="83">
        <v>1.595779279E9</v>
      </c>
      <c r="F14" s="68">
        <f>IFERROR(__xludf.DUMMYFUNCTION("INDEX(SPLIT(E14, char(10)), 0, 1)/86400+date(1970,1,1)"),44038.66758101852)</f>
        <v>44038.66758</v>
      </c>
      <c r="G14" s="84" t="s">
        <v>498</v>
      </c>
      <c r="H14" s="84" t="s">
        <v>1661</v>
      </c>
      <c r="I14" s="46" t="s">
        <v>12</v>
      </c>
    </row>
    <row r="15">
      <c r="A15" s="5" t="s">
        <v>3</v>
      </c>
      <c r="B15" s="5" t="s">
        <v>145</v>
      </c>
      <c r="C15" s="23">
        <f t="shared" si="5"/>
        <v>7</v>
      </c>
      <c r="D15" s="17">
        <f>IFERROR(__xludf.DUMMYFUNCTION("IF(C15, COUNTIF(FILTER($D$19:$D1000, $A$19:$A1000=A15), TRUE)/C15, 0)"),0.2857142857142857)</f>
        <v>0.2857142857</v>
      </c>
      <c r="E15" s="83">
        <v>1.595779453E9</v>
      </c>
      <c r="F15" s="68">
        <f>IFERROR(__xludf.DUMMYFUNCTION("INDEX(SPLIT(E15, char(10)), 0, 1)/86400+date(1970,1,1)"),44038.669594907406)</f>
        <v>44038.66959</v>
      </c>
      <c r="G15" s="84" t="s">
        <v>1662</v>
      </c>
      <c r="H15" s="84" t="s">
        <v>1663</v>
      </c>
      <c r="I15" s="46" t="s">
        <v>11</v>
      </c>
    </row>
    <row r="16">
      <c r="A16" s="5" t="s">
        <v>4</v>
      </c>
      <c r="B16" s="5" t="s">
        <v>148</v>
      </c>
      <c r="C16" s="23">
        <f t="shared" si="5"/>
        <v>4</v>
      </c>
      <c r="D16" s="17">
        <f>IFERROR(__xludf.DUMMYFUNCTION("IF(C16, COUNTIF(FILTER($D$19:$D1000, $A$19:$A1000=A16), TRUE)/C16, 0)"),0.25)</f>
        <v>0.25</v>
      </c>
      <c r="E16" s="83">
        <v>1.595779558E9</v>
      </c>
      <c r="F16" s="68">
        <f>IFERROR(__xludf.DUMMYFUNCTION("INDEX(SPLIT(E16, char(10)), 0, 1)/86400+date(1970,1,1)"),44038.670810185184)</f>
        <v>44038.67081</v>
      </c>
      <c r="G16" s="84" t="s">
        <v>1664</v>
      </c>
      <c r="H16" s="84" t="s">
        <v>1665</v>
      </c>
      <c r="I16" s="46" t="s">
        <v>14</v>
      </c>
    </row>
    <row r="17">
      <c r="A17" s="5" t="s">
        <v>5</v>
      </c>
      <c r="B17" s="5" t="s">
        <v>151</v>
      </c>
      <c r="C17" s="23">
        <f t="shared" si="5"/>
        <v>9</v>
      </c>
      <c r="D17" s="17">
        <f>IFERROR(__xludf.DUMMYFUNCTION("IF(C17, COUNTIF(FILTER($D$19:$D1000, $A$19:$A1000=A17), TRUE)/C17, 0)"),0.3333333333333333)</f>
        <v>0.3333333333</v>
      </c>
      <c r="E17" s="83">
        <v>1.59578031E9</v>
      </c>
      <c r="F17" s="68">
        <f>IFERROR(__xludf.DUMMYFUNCTION("INDEX(SPLIT(E17, char(10)), 0, 1)/86400+date(1970,1,1)"),44038.679513888885)</f>
        <v>44038.67951</v>
      </c>
      <c r="G17" s="84" t="s">
        <v>1666</v>
      </c>
      <c r="H17" s="84" t="s">
        <v>1667</v>
      </c>
      <c r="I17" s="46" t="s">
        <v>13</v>
      </c>
    </row>
    <row r="18">
      <c r="A18" s="71"/>
      <c r="B18" s="13" t="s">
        <v>6</v>
      </c>
      <c r="C18" s="23">
        <f>SUM(C14:C17)</f>
        <v>23</v>
      </c>
      <c r="D18" s="17">
        <f>COUNTIF($D$19:$D1000, TRUE)/SUM($C$14:$C$17)</f>
        <v>0.3913043478</v>
      </c>
      <c r="E18" s="83">
        <v>1.595780602E9</v>
      </c>
      <c r="F18" s="68">
        <f>IFERROR(__xludf.DUMMYFUNCTION("INDEX(SPLIT(E18, char(10)), 0, 1)/86400+date(1970,1,1)"),44038.68289351852)</f>
        <v>44038.68289</v>
      </c>
      <c r="G18" s="84" t="s">
        <v>1668</v>
      </c>
      <c r="H18" s="84" t="s">
        <v>1669</v>
      </c>
      <c r="I18" s="46" t="s">
        <v>14</v>
      </c>
    </row>
    <row r="19">
      <c r="A19" s="5" t="s">
        <v>4</v>
      </c>
      <c r="B19" s="5" t="s">
        <v>161</v>
      </c>
      <c r="C19" s="25">
        <v>1.0</v>
      </c>
      <c r="D19" s="79" t="b">
        <v>0</v>
      </c>
      <c r="E19" s="83">
        <v>1.595780748E9</v>
      </c>
      <c r="F19" s="68">
        <f>IFERROR(__xludf.DUMMYFUNCTION("INDEX(SPLIT(E19, char(10)), 0, 1)/86400+date(1970,1,1)"),44038.684583333335)</f>
        <v>44038.68458</v>
      </c>
      <c r="G19" s="84" t="s">
        <v>1670</v>
      </c>
      <c r="H19" s="84" t="s">
        <v>1671</v>
      </c>
      <c r="I19" s="46" t="s">
        <v>14</v>
      </c>
    </row>
    <row r="20">
      <c r="A20" s="5" t="s">
        <v>3</v>
      </c>
      <c r="B20" s="5" t="s">
        <v>1283</v>
      </c>
      <c r="C20" s="25">
        <v>9.0</v>
      </c>
      <c r="D20" s="79" t="b">
        <v>1</v>
      </c>
      <c r="E20" s="83">
        <v>1.595780841E9</v>
      </c>
      <c r="F20" s="68">
        <f>IFERROR(__xludf.DUMMYFUNCTION("INDEX(SPLIT(E20, char(10)), 0, 1)/86400+date(1970,1,1)"),44038.68565972222)</f>
        <v>44038.68566</v>
      </c>
      <c r="G20" s="84" t="s">
        <v>1672</v>
      </c>
      <c r="H20" s="84" t="s">
        <v>1673</v>
      </c>
      <c r="I20" s="46" t="s">
        <v>13</v>
      </c>
    </row>
    <row r="21">
      <c r="A21" s="5" t="s">
        <v>141</v>
      </c>
      <c r="B21" s="5" t="s">
        <v>1286</v>
      </c>
      <c r="C21" s="25">
        <v>33.0</v>
      </c>
      <c r="D21" s="79" t="b">
        <v>1</v>
      </c>
      <c r="E21" s="83">
        <v>1.595780977E9</v>
      </c>
      <c r="F21" s="68">
        <f>IFERROR(__xludf.DUMMYFUNCTION("INDEX(SPLIT(E21, char(10)), 0, 1)/86400+date(1970,1,1)"),44038.6872337963)</f>
        <v>44038.68723</v>
      </c>
      <c r="G21" s="84" t="s">
        <v>1674</v>
      </c>
      <c r="H21" s="84" t="s">
        <v>1675</v>
      </c>
      <c r="I21" s="46" t="s">
        <v>11</v>
      </c>
    </row>
    <row r="22">
      <c r="A22" s="5" t="s">
        <v>4</v>
      </c>
      <c r="B22" s="5" t="s">
        <v>167</v>
      </c>
      <c r="C22" s="25">
        <v>45.0</v>
      </c>
      <c r="D22" s="79" t="b">
        <v>0</v>
      </c>
      <c r="E22" s="83">
        <v>1.595781098E9</v>
      </c>
      <c r="F22" s="68">
        <f>IFERROR(__xludf.DUMMYFUNCTION("INDEX(SPLIT(E22, char(10)), 0, 1)/86400+date(1970,1,1)"),44038.68863425926)</f>
        <v>44038.68863</v>
      </c>
      <c r="G22" s="84" t="s">
        <v>1676</v>
      </c>
      <c r="H22" s="84" t="s">
        <v>1677</v>
      </c>
      <c r="I22" s="46" t="s">
        <v>14</v>
      </c>
    </row>
    <row r="23">
      <c r="A23" s="5" t="s">
        <v>4</v>
      </c>
      <c r="B23" s="5" t="s">
        <v>170</v>
      </c>
      <c r="C23" s="25">
        <v>45.0</v>
      </c>
      <c r="D23" s="79" t="b">
        <v>0</v>
      </c>
      <c r="E23" s="83">
        <v>1.59578125E9</v>
      </c>
      <c r="F23" s="68">
        <f>IFERROR(__xludf.DUMMYFUNCTION("INDEX(SPLIT(E23, char(10)), 0, 1)/86400+date(1970,1,1)"),44038.69039351852)</f>
        <v>44038.69039</v>
      </c>
      <c r="G23" s="84" t="s">
        <v>1678</v>
      </c>
      <c r="H23" s="84" t="s">
        <v>1679</v>
      </c>
      <c r="I23" s="46" t="s">
        <v>13</v>
      </c>
    </row>
    <row r="24">
      <c r="A24" s="5" t="s">
        <v>5</v>
      </c>
      <c r="B24" s="5" t="s">
        <v>1293</v>
      </c>
      <c r="C24" s="25">
        <v>58.0</v>
      </c>
      <c r="D24" s="79" t="b">
        <v>1</v>
      </c>
      <c r="E24" s="83">
        <v>1.595781346E9</v>
      </c>
      <c r="F24" s="68">
        <f>IFERROR(__xludf.DUMMYFUNCTION("INDEX(SPLIT(E24, char(10)), 0, 1)/86400+date(1970,1,1)"),44038.691504629634)</f>
        <v>44038.6915</v>
      </c>
      <c r="G24" s="84" t="s">
        <v>1680</v>
      </c>
      <c r="H24" s="84" t="s">
        <v>1681</v>
      </c>
      <c r="I24" s="46" t="s">
        <v>12</v>
      </c>
    </row>
    <row r="25">
      <c r="A25" s="5" t="s">
        <v>3</v>
      </c>
      <c r="B25" s="71" t="s">
        <v>1296</v>
      </c>
      <c r="C25" s="25">
        <v>63.0</v>
      </c>
      <c r="D25" s="79" t="b">
        <v>0</v>
      </c>
      <c r="E25" s="83">
        <v>1.595781545E9</v>
      </c>
      <c r="F25" s="68">
        <f>IFERROR(__xludf.DUMMYFUNCTION("INDEX(SPLIT(E25, char(10)), 0, 1)/86400+date(1970,1,1)"),44038.69380787037)</f>
        <v>44038.69381</v>
      </c>
      <c r="G25" s="84" t="s">
        <v>1682</v>
      </c>
      <c r="H25" s="84" t="s">
        <v>1683</v>
      </c>
      <c r="I25" s="46" t="s">
        <v>93</v>
      </c>
    </row>
    <row r="26">
      <c r="A26" s="5" t="s">
        <v>3</v>
      </c>
      <c r="B26" s="71" t="s">
        <v>1299</v>
      </c>
      <c r="C26" s="25">
        <v>69.0</v>
      </c>
      <c r="D26" s="79" t="b">
        <v>0</v>
      </c>
      <c r="E26" s="83">
        <v>1.595781734E9</v>
      </c>
      <c r="F26" s="68">
        <f>IFERROR(__xludf.DUMMYFUNCTION("INDEX(SPLIT(E26, char(10)), 0, 1)/86400+date(1970,1,1)"),44038.69599537037)</f>
        <v>44038.696</v>
      </c>
      <c r="G26" s="84" t="s">
        <v>1684</v>
      </c>
      <c r="H26" s="84" t="s">
        <v>1685</v>
      </c>
      <c r="I26" s="46" t="s">
        <v>14</v>
      </c>
    </row>
    <row r="27">
      <c r="A27" s="5" t="s">
        <v>141</v>
      </c>
      <c r="B27" s="71" t="s">
        <v>1302</v>
      </c>
      <c r="C27" s="25">
        <v>70.0</v>
      </c>
      <c r="D27" s="79" t="b">
        <v>1</v>
      </c>
      <c r="E27" s="83">
        <v>1.5957819E9</v>
      </c>
      <c r="F27" s="68">
        <f>IFERROR(__xludf.DUMMYFUNCTION("INDEX(SPLIT(E27, char(10)), 0, 1)/86400+date(1970,1,1)"),44038.69791666667)</f>
        <v>44038.69792</v>
      </c>
      <c r="G27" s="84" t="s">
        <v>1441</v>
      </c>
      <c r="H27" s="84" t="s">
        <v>1686</v>
      </c>
      <c r="I27" s="46" t="s">
        <v>13</v>
      </c>
    </row>
    <row r="28">
      <c r="A28" s="5" t="s">
        <v>5</v>
      </c>
      <c r="B28" s="71" t="s">
        <v>1305</v>
      </c>
      <c r="C28" s="25">
        <v>73.0</v>
      </c>
      <c r="D28" s="79" t="b">
        <v>0</v>
      </c>
      <c r="E28" s="83">
        <v>1.595782345E9</v>
      </c>
      <c r="F28" s="68">
        <f>IFERROR(__xludf.DUMMYFUNCTION("INDEX(SPLIT(E28, char(10)), 0, 1)/86400+date(1970,1,1)"),44038.70306712963)</f>
        <v>44038.70307</v>
      </c>
      <c r="G28" s="84" t="s">
        <v>1687</v>
      </c>
      <c r="H28" s="84" t="s">
        <v>1688</v>
      </c>
      <c r="I28" s="46" t="s">
        <v>13</v>
      </c>
    </row>
    <row r="29">
      <c r="A29" s="5" t="s">
        <v>5</v>
      </c>
      <c r="B29" s="71" t="s">
        <v>1308</v>
      </c>
      <c r="C29" s="25">
        <v>73.0</v>
      </c>
      <c r="D29" s="79" t="b">
        <v>0</v>
      </c>
      <c r="E29" s="87">
        <v>1.595782437E9</v>
      </c>
      <c r="F29" s="68">
        <f>IFERROR(__xludf.DUMMYFUNCTION("INDEX(SPLIT(E29, char(10)), 0, 1)/86400+date(1970,1,1)"),44038.70413194444)</f>
        <v>44038.70413</v>
      </c>
      <c r="G29" s="84" t="s">
        <v>1689</v>
      </c>
      <c r="H29" s="84" t="s">
        <v>1690</v>
      </c>
      <c r="I29" s="46" t="s">
        <v>14</v>
      </c>
    </row>
    <row r="30">
      <c r="A30" s="5" t="s">
        <v>5</v>
      </c>
      <c r="B30" s="71" t="s">
        <v>1311</v>
      </c>
      <c r="C30" s="25">
        <v>73.0</v>
      </c>
      <c r="D30" s="79" t="b">
        <v>0</v>
      </c>
      <c r="E30" s="78">
        <v>1.595782572E9</v>
      </c>
      <c r="F30" s="68">
        <f>IFERROR(__xludf.DUMMYFUNCTION("INDEX(SPLIT(E30, char(10)), 0, 1)/86400+date(1970,1,1)"),44038.70569444445)</f>
        <v>44038.70569</v>
      </c>
      <c r="G30" s="84" t="s">
        <v>1691</v>
      </c>
      <c r="H30" s="84" t="s">
        <v>1692</v>
      </c>
      <c r="I30" s="46" t="s">
        <v>13</v>
      </c>
    </row>
    <row r="31">
      <c r="A31" s="5" t="s">
        <v>5</v>
      </c>
      <c r="B31" s="71" t="s">
        <v>1314</v>
      </c>
      <c r="C31" s="25">
        <v>77.0</v>
      </c>
      <c r="D31" s="79" t="b">
        <v>1</v>
      </c>
      <c r="E31" s="87">
        <v>1.59578275E9</v>
      </c>
      <c r="F31" s="68">
        <f>IFERROR(__xludf.DUMMYFUNCTION("INDEX(SPLIT(E31, char(10)), 0, 1)/86400+date(1970,1,1)"),44038.707754629635)</f>
        <v>44038.70775</v>
      </c>
      <c r="G31" s="84" t="s">
        <v>1693</v>
      </c>
      <c r="H31" s="84" t="s">
        <v>1694</v>
      </c>
      <c r="I31" s="46" t="s">
        <v>13</v>
      </c>
    </row>
    <row r="32">
      <c r="A32" s="5" t="s">
        <v>3</v>
      </c>
      <c r="B32" s="71" t="s">
        <v>1317</v>
      </c>
      <c r="C32" s="25">
        <v>83.0</v>
      </c>
      <c r="D32" s="79" t="b">
        <v>0</v>
      </c>
      <c r="E32" s="87"/>
      <c r="F32" s="68"/>
      <c r="G32" s="84"/>
      <c r="H32" s="84"/>
      <c r="I32" s="46"/>
    </row>
    <row r="33">
      <c r="A33" s="5" t="s">
        <v>5</v>
      </c>
      <c r="B33" s="71" t="s">
        <v>1320</v>
      </c>
      <c r="C33" s="25">
        <v>86.0</v>
      </c>
      <c r="D33" s="79" t="b">
        <v>1</v>
      </c>
      <c r="E33" s="87"/>
      <c r="F33" s="68"/>
      <c r="G33" s="84"/>
      <c r="H33" s="84"/>
      <c r="I33" s="46"/>
    </row>
    <row r="34">
      <c r="A34" s="5" t="s">
        <v>5</v>
      </c>
      <c r="B34" s="71" t="s">
        <v>1323</v>
      </c>
      <c r="C34" s="25">
        <v>88.0</v>
      </c>
      <c r="D34" s="79" t="b">
        <v>0</v>
      </c>
      <c r="E34" s="87"/>
      <c r="F34" s="68"/>
      <c r="G34" s="84"/>
      <c r="H34" s="84"/>
      <c r="I34" s="46"/>
    </row>
    <row r="35">
      <c r="A35" s="5" t="s">
        <v>3</v>
      </c>
      <c r="B35" s="71" t="s">
        <v>1326</v>
      </c>
      <c r="C35" s="25">
        <v>90.0</v>
      </c>
      <c r="D35" s="79" t="b">
        <v>0</v>
      </c>
      <c r="E35" s="87"/>
      <c r="F35" s="68"/>
      <c r="G35" s="84"/>
      <c r="H35" s="84"/>
      <c r="I35" s="46"/>
    </row>
    <row r="36">
      <c r="A36" s="5" t="s">
        <v>3</v>
      </c>
      <c r="B36" s="71" t="s">
        <v>1329</v>
      </c>
      <c r="C36" s="25">
        <v>92.0</v>
      </c>
      <c r="D36" s="79" t="b">
        <v>0</v>
      </c>
      <c r="E36" s="87"/>
      <c r="F36" s="68"/>
      <c r="G36" s="84"/>
      <c r="H36" s="84"/>
      <c r="I36" s="46"/>
    </row>
    <row r="37">
      <c r="A37" s="5" t="s">
        <v>3</v>
      </c>
      <c r="B37" s="71" t="s">
        <v>1332</v>
      </c>
      <c r="C37" s="25">
        <v>94.0</v>
      </c>
      <c r="D37" s="79" t="b">
        <v>1</v>
      </c>
      <c r="E37" s="87"/>
      <c r="F37" s="68"/>
      <c r="G37" s="84"/>
      <c r="H37" s="84"/>
      <c r="I37" s="46"/>
    </row>
    <row r="38">
      <c r="A38" s="5" t="s">
        <v>5</v>
      </c>
      <c r="B38" s="71" t="s">
        <v>1335</v>
      </c>
      <c r="C38" s="25">
        <v>97.0</v>
      </c>
      <c r="D38" s="79" t="b">
        <v>0</v>
      </c>
      <c r="E38" s="87"/>
      <c r="F38" s="68"/>
      <c r="G38" s="84"/>
      <c r="H38" s="84"/>
      <c r="I38" s="46"/>
    </row>
    <row r="39">
      <c r="A39" s="5" t="s">
        <v>5</v>
      </c>
      <c r="B39" s="71" t="s">
        <v>1338</v>
      </c>
      <c r="C39" s="25">
        <v>97.0</v>
      </c>
      <c r="D39" s="79" t="b">
        <v>0</v>
      </c>
      <c r="E39" s="87"/>
      <c r="F39" s="68"/>
      <c r="G39" s="84"/>
      <c r="H39" s="84"/>
      <c r="I39" s="46"/>
    </row>
    <row r="40">
      <c r="A40" s="5" t="s">
        <v>141</v>
      </c>
      <c r="B40" s="71" t="s">
        <v>1341</v>
      </c>
      <c r="C40" s="25">
        <v>98.0</v>
      </c>
      <c r="D40" s="79" t="b">
        <v>1</v>
      </c>
      <c r="E40" s="95"/>
      <c r="F40" s="68"/>
      <c r="G40" s="84"/>
      <c r="H40" s="84"/>
      <c r="I40" s="46"/>
    </row>
    <row r="41">
      <c r="A41" s="5" t="s">
        <v>4</v>
      </c>
      <c r="B41" s="71" t="s">
        <v>195</v>
      </c>
      <c r="C41" s="25">
        <v>90.0</v>
      </c>
      <c r="D41" s="79" t="b">
        <v>1</v>
      </c>
      <c r="E41" s="71"/>
      <c r="F41" s="76"/>
      <c r="G41" s="5"/>
      <c r="H41" s="5"/>
      <c r="I41" s="5"/>
    </row>
    <row r="42">
      <c r="A42" s="5"/>
      <c r="B42" s="71"/>
      <c r="C42" s="25"/>
      <c r="D42" s="5"/>
      <c r="E42" s="97"/>
      <c r="F42" s="98"/>
      <c r="H42" s="5"/>
      <c r="I42" s="52"/>
    </row>
    <row r="43">
      <c r="A43" s="46"/>
      <c r="B43" s="46"/>
      <c r="C43" s="46"/>
      <c r="D43" s="46"/>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4</v>
      </c>
      <c r="D2" s="17">
        <f t="shared" ref="D2:D6" si="2">C2/COUNTA(I$2:I1000)</f>
        <v>0.125</v>
      </c>
      <c r="E2" s="67">
        <v>1.623676606E9</v>
      </c>
      <c r="F2" s="68">
        <f>IFERROR(__xludf.DUMMYFUNCTION("INDEX(SPLIT(E2, char(10)), 0, 1)/86400+date(1970,1,1)"),44361.55331018519)</f>
        <v>44361.55331</v>
      </c>
      <c r="G2" s="7" t="s">
        <v>1695</v>
      </c>
      <c r="H2" s="46" t="s">
        <v>1696</v>
      </c>
      <c r="I2" s="7" t="s">
        <v>12</v>
      </c>
    </row>
    <row r="3">
      <c r="A3" s="5" t="s">
        <v>11</v>
      </c>
      <c r="B3" s="5" t="s">
        <v>111</v>
      </c>
      <c r="C3" s="25">
        <f t="shared" si="1"/>
        <v>5</v>
      </c>
      <c r="D3" s="17">
        <f t="shared" si="2"/>
        <v>0.15625</v>
      </c>
      <c r="E3" s="67">
        <v>1.623676764E9</v>
      </c>
      <c r="F3" s="68">
        <f>IFERROR(__xludf.DUMMYFUNCTION("INDEX(SPLIT(E3, char(10)), 0, 1)/86400+date(1970,1,1)"),44361.555138888885)</f>
        <v>44361.55514</v>
      </c>
      <c r="G3" s="7" t="s">
        <v>1697</v>
      </c>
      <c r="H3" s="46" t="s">
        <v>1698</v>
      </c>
      <c r="I3" s="7" t="s">
        <v>14</v>
      </c>
    </row>
    <row r="4">
      <c r="A4" s="5" t="s">
        <v>12</v>
      </c>
      <c r="B4" s="5" t="s">
        <v>114</v>
      </c>
      <c r="C4" s="25">
        <f t="shared" si="1"/>
        <v>9</v>
      </c>
      <c r="D4" s="17">
        <f t="shared" si="2"/>
        <v>0.28125</v>
      </c>
      <c r="E4" s="67">
        <v>1.623676927E9</v>
      </c>
      <c r="F4" s="68">
        <f>IFERROR(__xludf.DUMMYFUNCTION("INDEX(SPLIT(E4, char(10)), 0, 1)/86400+date(1970,1,1)"),44361.557025462964)</f>
        <v>44361.55703</v>
      </c>
      <c r="G4" s="7" t="s">
        <v>1699</v>
      </c>
      <c r="H4" s="46" t="s">
        <v>1700</v>
      </c>
      <c r="I4" s="7" t="s">
        <v>11</v>
      </c>
    </row>
    <row r="5">
      <c r="A5" s="5" t="s">
        <v>13</v>
      </c>
      <c r="B5" s="5" t="s">
        <v>117</v>
      </c>
      <c r="C5" s="25">
        <f t="shared" si="1"/>
        <v>8</v>
      </c>
      <c r="D5" s="17">
        <f t="shared" si="2"/>
        <v>0.25</v>
      </c>
      <c r="E5" s="67">
        <v>1.623677548E9</v>
      </c>
      <c r="F5" s="68">
        <f>IFERROR(__xludf.DUMMYFUNCTION("INDEX(SPLIT(E5, char(10)), 0, 1)/86400+date(1970,1,1)"),44361.56421296296)</f>
        <v>44361.56421</v>
      </c>
      <c r="G5" s="7" t="s">
        <v>1701</v>
      </c>
      <c r="H5" s="46" t="s">
        <v>1702</v>
      </c>
      <c r="I5" s="7" t="s">
        <v>14</v>
      </c>
    </row>
    <row r="6">
      <c r="A6" s="5" t="s">
        <v>14</v>
      </c>
      <c r="B6" s="5" t="s">
        <v>120</v>
      </c>
      <c r="C6" s="25">
        <f t="shared" si="1"/>
        <v>6</v>
      </c>
      <c r="D6" s="17">
        <f t="shared" si="2"/>
        <v>0.1875</v>
      </c>
      <c r="E6" s="67">
        <v>1.623677694E9</v>
      </c>
      <c r="F6" s="68">
        <f>IFERROR(__xludf.DUMMYFUNCTION("INDEX(SPLIT(E6, char(10)), 0, 1)/86400+date(1970,1,1)"),44361.56590277777)</f>
        <v>44361.5659</v>
      </c>
      <c r="G6" s="7" t="s">
        <v>1703</v>
      </c>
      <c r="H6" s="46" t="s">
        <v>1704</v>
      </c>
      <c r="I6" s="7" t="s">
        <v>12</v>
      </c>
    </row>
    <row r="7">
      <c r="A7" s="5"/>
      <c r="B7" s="5" t="s">
        <v>10</v>
      </c>
      <c r="C7" s="23">
        <f t="shared" ref="C7:D7" si="3">SUM(C2:C6)</f>
        <v>32</v>
      </c>
      <c r="D7" s="70">
        <f t="shared" si="3"/>
        <v>1</v>
      </c>
      <c r="E7" s="67">
        <v>1.623678172E9</v>
      </c>
      <c r="F7" s="68">
        <f>IFERROR(__xludf.DUMMYFUNCTION("INDEX(SPLIT(E7, char(10)), 0, 1)/86400+date(1970,1,1)"),44361.571435185186)</f>
        <v>44361.57144</v>
      </c>
      <c r="G7" s="7" t="s">
        <v>1705</v>
      </c>
      <c r="H7" s="46" t="s">
        <v>1706</v>
      </c>
      <c r="I7" s="7" t="s">
        <v>13</v>
      </c>
    </row>
    <row r="8">
      <c r="A8" s="71"/>
      <c r="B8" s="5" t="s">
        <v>15</v>
      </c>
      <c r="C8" s="25">
        <f t="shared" ref="C8:D8" si="4">SUM(C5:C6)</f>
        <v>14</v>
      </c>
      <c r="D8" s="17">
        <f t="shared" si="4"/>
        <v>0.4375</v>
      </c>
      <c r="E8" s="67">
        <v>1.623678272E9</v>
      </c>
      <c r="F8" s="68">
        <f>IFERROR(__xludf.DUMMYFUNCTION("INDEX(SPLIT(E8, char(10)), 0, 1)/86400+date(1970,1,1)"),44361.572592592594)</f>
        <v>44361.57259</v>
      </c>
      <c r="G8" s="7" t="s">
        <v>1707</v>
      </c>
      <c r="H8" s="46" t="s">
        <v>1708</v>
      </c>
      <c r="I8" s="7" t="s">
        <v>12</v>
      </c>
    </row>
    <row r="9">
      <c r="A9" s="71"/>
      <c r="B9" s="5" t="s">
        <v>127</v>
      </c>
      <c r="C9" s="25">
        <f>SUM(C6:C7)</f>
        <v>38</v>
      </c>
      <c r="D9" s="17">
        <f>SUM(D5:D6) + D2</f>
        <v>0.5625</v>
      </c>
      <c r="E9" s="67">
        <v>1.623678456E9</v>
      </c>
      <c r="F9" s="68">
        <f>IFERROR(__xludf.DUMMYFUNCTION("INDEX(SPLIT(E9, char(10)), 0, 1)/86400+date(1970,1,1)"),44361.57472222223)</f>
        <v>44361.57472</v>
      </c>
      <c r="G9" s="7" t="s">
        <v>1709</v>
      </c>
      <c r="H9" s="46" t="s">
        <v>1710</v>
      </c>
      <c r="I9" s="7" t="s">
        <v>14</v>
      </c>
    </row>
    <row r="10">
      <c r="A10" s="71"/>
      <c r="B10" s="71"/>
      <c r="C10" s="71"/>
      <c r="D10" s="71"/>
      <c r="E10" s="67">
        <v>1.623678563E9</v>
      </c>
      <c r="F10" s="68">
        <f>IFERROR(__xludf.DUMMYFUNCTION("INDEX(SPLIT(E10, char(10)), 0, 1)/86400+date(1970,1,1)"),44361.575960648144)</f>
        <v>44361.57596</v>
      </c>
      <c r="G10" s="7" t="s">
        <v>1711</v>
      </c>
      <c r="H10" s="46" t="s">
        <v>1712</v>
      </c>
      <c r="I10" s="7" t="s">
        <v>12</v>
      </c>
    </row>
    <row r="11">
      <c r="A11" s="71"/>
      <c r="B11" s="71"/>
      <c r="C11" s="71"/>
      <c r="D11" s="71"/>
      <c r="E11" s="67">
        <v>1.623678698E9</v>
      </c>
      <c r="F11" s="68">
        <f>IFERROR(__xludf.DUMMYFUNCTION("INDEX(SPLIT(E11, char(10)), 0, 1)/86400+date(1970,1,1)"),44361.57752314815)</f>
        <v>44361.57752</v>
      </c>
      <c r="G11" s="7" t="s">
        <v>1713</v>
      </c>
      <c r="H11" s="46" t="s">
        <v>1714</v>
      </c>
      <c r="I11" s="7" t="s">
        <v>11</v>
      </c>
    </row>
    <row r="12">
      <c r="A12" s="13" t="s">
        <v>134</v>
      </c>
      <c r="B12" s="102" t="s">
        <v>1715</v>
      </c>
      <c r="C12" s="71"/>
      <c r="D12" s="71"/>
      <c r="E12" s="67">
        <v>1.623679022E9</v>
      </c>
      <c r="F12" s="68">
        <f>IFERROR(__xludf.DUMMYFUNCTION("INDEX(SPLIT(E12, char(10)), 0, 1)/86400+date(1970,1,1)"),44361.58127314815)</f>
        <v>44361.58127</v>
      </c>
      <c r="G12" s="7" t="s">
        <v>498</v>
      </c>
      <c r="H12" s="46" t="s">
        <v>1716</v>
      </c>
      <c r="I12" s="7" t="s">
        <v>12</v>
      </c>
    </row>
    <row r="13">
      <c r="A13" s="13" t="s">
        <v>138</v>
      </c>
      <c r="B13" s="71"/>
      <c r="C13" s="13" t="s">
        <v>101</v>
      </c>
      <c r="D13" s="13" t="s">
        <v>102</v>
      </c>
      <c r="E13" s="67">
        <v>1.623679323E9</v>
      </c>
      <c r="F13" s="68">
        <f>IFERROR(__xludf.DUMMYFUNCTION("INDEX(SPLIT(E13, char(10)), 0, 1)/86400+date(1970,1,1)"),44361.584756944445)</f>
        <v>44361.58476</v>
      </c>
      <c r="G13" s="7" t="s">
        <v>1717</v>
      </c>
      <c r="H13" s="46" t="s">
        <v>1718</v>
      </c>
      <c r="I13" s="7" t="s">
        <v>13</v>
      </c>
    </row>
    <row r="14">
      <c r="A14" s="5" t="s">
        <v>141</v>
      </c>
      <c r="B14" s="5" t="s">
        <v>142</v>
      </c>
      <c r="C14" s="23">
        <f t="shared" ref="C14:C17" si="5">COUNTIF($A$19:$A1000, A14)</f>
        <v>2</v>
      </c>
      <c r="D14" s="17">
        <f>IFERROR(__xludf.DUMMYFUNCTION("IF(C14, COUNTIF(FILTER($D$19:$D1000, $A$19:$A1000=A14), TRUE)/C14, 0)"),1.0)</f>
        <v>1</v>
      </c>
      <c r="E14" s="67">
        <v>1.623679483E9</v>
      </c>
      <c r="F14" s="68">
        <f>IFERROR(__xludf.DUMMYFUNCTION("INDEX(SPLIT(E14, char(10)), 0, 1)/86400+date(1970,1,1)"),44361.58660879629)</f>
        <v>44361.58661</v>
      </c>
      <c r="G14" s="7" t="s">
        <v>1719</v>
      </c>
      <c r="H14" s="46" t="s">
        <v>1720</v>
      </c>
      <c r="I14" s="7" t="s">
        <v>14</v>
      </c>
    </row>
    <row r="15">
      <c r="A15" s="5" t="s">
        <v>3</v>
      </c>
      <c r="B15" s="5" t="s">
        <v>145</v>
      </c>
      <c r="C15" s="23">
        <f t="shared" si="5"/>
        <v>0</v>
      </c>
      <c r="D15" s="17">
        <f>IFERROR(__xludf.DUMMYFUNCTION("IF(C15, COUNTIF(FILTER($D$19:$D1000, $A$19:$A1000=A15), TRUE)/C15, 0)"),0.0)</f>
        <v>0</v>
      </c>
      <c r="E15" s="67">
        <v>1.623679587E9</v>
      </c>
      <c r="F15" s="68">
        <f>IFERROR(__xludf.DUMMYFUNCTION("INDEX(SPLIT(E15, char(10)), 0, 1)/86400+date(1970,1,1)"),44361.5878125)</f>
        <v>44361.58781</v>
      </c>
      <c r="G15" s="7" t="s">
        <v>1721</v>
      </c>
      <c r="H15" s="46" t="s">
        <v>1722</v>
      </c>
      <c r="I15" s="7" t="s">
        <v>11</v>
      </c>
    </row>
    <row r="16">
      <c r="A16" s="5" t="s">
        <v>4</v>
      </c>
      <c r="B16" s="5" t="s">
        <v>148</v>
      </c>
      <c r="C16" s="23">
        <f t="shared" si="5"/>
        <v>4</v>
      </c>
      <c r="D16" s="17">
        <f>IFERROR(__xludf.DUMMYFUNCTION("IF(C16, COUNTIF(FILTER($D$19:$D1000, $A$19:$A1000=A16), TRUE)/C16, 0)"),0.25)</f>
        <v>0.25</v>
      </c>
      <c r="E16" s="67">
        <v>1.623679689E9</v>
      </c>
      <c r="F16" s="68">
        <f>IFERROR(__xludf.DUMMYFUNCTION("INDEX(SPLIT(E16, char(10)), 0, 1)/86400+date(1970,1,1)"),44361.58899305556)</f>
        <v>44361.58899</v>
      </c>
      <c r="G16" s="7" t="s">
        <v>1723</v>
      </c>
      <c r="H16" s="46" t="s">
        <v>1724</v>
      </c>
      <c r="I16" s="7" t="s">
        <v>13</v>
      </c>
    </row>
    <row r="17">
      <c r="A17" s="5" t="s">
        <v>5</v>
      </c>
      <c r="B17" s="5" t="s">
        <v>151</v>
      </c>
      <c r="C17" s="23">
        <f t="shared" si="5"/>
        <v>10</v>
      </c>
      <c r="D17" s="17">
        <f>IFERROR(__xludf.DUMMYFUNCTION("IF(C17, COUNTIF(FILTER($D$19:$D1000, $A$19:$A1000=A17), TRUE)/C17, 0)"),0.6)</f>
        <v>0.6</v>
      </c>
      <c r="E17" s="67">
        <v>1.623679789E9</v>
      </c>
      <c r="F17" s="68">
        <f>IFERROR(__xludf.DUMMYFUNCTION("INDEX(SPLIT(E17, char(10)), 0, 1)/86400+date(1970,1,1)"),44361.59015046296)</f>
        <v>44361.59015</v>
      </c>
      <c r="G17" s="7" t="s">
        <v>1725</v>
      </c>
      <c r="H17" s="46" t="s">
        <v>1726</v>
      </c>
      <c r="I17" s="7" t="s">
        <v>11</v>
      </c>
    </row>
    <row r="18">
      <c r="A18" s="71"/>
      <c r="B18" s="13" t="s">
        <v>6</v>
      </c>
      <c r="C18" s="23">
        <f>SUM(C14:C17)</f>
        <v>16</v>
      </c>
      <c r="D18" s="17">
        <f>COUNTIF($D$19:$D1000, TRUE)/SUM($C$14:$C$17)</f>
        <v>0.5625</v>
      </c>
      <c r="E18" s="67">
        <v>1.62367988E9</v>
      </c>
      <c r="F18" s="68">
        <f>IFERROR(__xludf.DUMMYFUNCTION("INDEX(SPLIT(E18, char(10)), 0, 1)/86400+date(1970,1,1)"),44361.591203703705)</f>
        <v>44361.5912</v>
      </c>
      <c r="G18" s="7" t="s">
        <v>1727</v>
      </c>
      <c r="H18" s="46" t="s">
        <v>1728</v>
      </c>
      <c r="I18" s="7" t="s">
        <v>93</v>
      </c>
    </row>
    <row r="19">
      <c r="A19" s="13" t="s">
        <v>107</v>
      </c>
      <c r="B19" s="13" t="s">
        <v>156</v>
      </c>
      <c r="C19" s="13" t="s">
        <v>157</v>
      </c>
      <c r="D19" s="13" t="s">
        <v>158</v>
      </c>
      <c r="E19" s="67">
        <v>1.623679999E9</v>
      </c>
      <c r="F19" s="68">
        <f>IFERROR(__xludf.DUMMYFUNCTION("INDEX(SPLIT(E19, char(10)), 0, 1)/86400+date(1970,1,1)"),44361.592581018514)</f>
        <v>44361.59258</v>
      </c>
      <c r="G19" s="7" t="s">
        <v>1729</v>
      </c>
      <c r="H19" s="46" t="s">
        <v>1730</v>
      </c>
      <c r="I19" s="7" t="s">
        <v>14</v>
      </c>
    </row>
    <row r="20">
      <c r="A20" s="5" t="s">
        <v>4</v>
      </c>
      <c r="B20" s="5" t="s">
        <v>161</v>
      </c>
      <c r="C20" s="25">
        <v>1.0</v>
      </c>
      <c r="D20" s="96" t="b">
        <v>0</v>
      </c>
      <c r="E20" s="67">
        <v>1.62368009E9</v>
      </c>
      <c r="F20" s="68">
        <f>IFERROR(__xludf.DUMMYFUNCTION("INDEX(SPLIT(E20, char(10)), 0, 1)/86400+date(1970,1,1)"),44361.59363425926)</f>
        <v>44361.59363</v>
      </c>
      <c r="G20" s="7" t="s">
        <v>1731</v>
      </c>
      <c r="H20" s="46" t="s">
        <v>1732</v>
      </c>
      <c r="I20" s="7" t="s">
        <v>93</v>
      </c>
    </row>
    <row r="21">
      <c r="A21" s="5" t="s">
        <v>141</v>
      </c>
      <c r="B21" s="5" t="s">
        <v>1733</v>
      </c>
      <c r="C21" s="25">
        <v>42.0</v>
      </c>
      <c r="D21" s="96" t="b">
        <v>1</v>
      </c>
      <c r="E21" s="67">
        <v>1.623680197E9</v>
      </c>
      <c r="F21" s="68">
        <f>IFERROR(__xludf.DUMMYFUNCTION("INDEX(SPLIT(E21, char(10)), 0, 1)/86400+date(1970,1,1)"),44361.594872685186)</f>
        <v>44361.59487</v>
      </c>
      <c r="G21" s="7" t="s">
        <v>1734</v>
      </c>
      <c r="H21" s="46" t="s">
        <v>1735</v>
      </c>
      <c r="I21" s="7" t="s">
        <v>93</v>
      </c>
    </row>
    <row r="22">
      <c r="A22" s="5" t="s">
        <v>4</v>
      </c>
      <c r="B22" s="5" t="s">
        <v>167</v>
      </c>
      <c r="C22" s="25">
        <v>45.0</v>
      </c>
      <c r="D22" s="96" t="b">
        <v>0</v>
      </c>
      <c r="E22" s="67">
        <v>1.623680307E9</v>
      </c>
      <c r="F22" s="68">
        <f>IFERROR(__xludf.DUMMYFUNCTION("INDEX(SPLIT(E22, char(10)), 0, 1)/86400+date(1970,1,1)"),44361.59614583333)</f>
        <v>44361.59615</v>
      </c>
      <c r="G22" s="7" t="s">
        <v>1736</v>
      </c>
      <c r="H22" s="46" t="s">
        <v>1737</v>
      </c>
      <c r="I22" s="7" t="s">
        <v>12</v>
      </c>
    </row>
    <row r="23">
      <c r="A23" s="5" t="s">
        <v>4</v>
      </c>
      <c r="B23" s="5" t="s">
        <v>170</v>
      </c>
      <c r="C23" s="25">
        <v>46.0</v>
      </c>
      <c r="D23" s="96" t="b">
        <v>0</v>
      </c>
      <c r="E23" s="67">
        <v>1.62368041E9</v>
      </c>
      <c r="F23" s="68">
        <f>IFERROR(__xludf.DUMMYFUNCTION("INDEX(SPLIT(E23, char(10)), 0, 1)/86400+date(1970,1,1)"),44361.59733796296)</f>
        <v>44361.59734</v>
      </c>
      <c r="G23" s="7" t="s">
        <v>1738</v>
      </c>
      <c r="H23" s="46" t="s">
        <v>1739</v>
      </c>
      <c r="I23" s="7" t="s">
        <v>12</v>
      </c>
    </row>
    <row r="24">
      <c r="A24" s="5" t="s">
        <v>5</v>
      </c>
      <c r="B24" s="5" t="s">
        <v>1740</v>
      </c>
      <c r="C24" s="25">
        <v>46.0</v>
      </c>
      <c r="D24" s="96" t="b">
        <v>1</v>
      </c>
      <c r="E24" s="67">
        <v>1.623680505E9</v>
      </c>
      <c r="F24" s="68">
        <f>IFERROR(__xludf.DUMMYFUNCTION("INDEX(SPLIT(E24, char(10)), 0, 1)/86400+date(1970,1,1)"),44361.5984375)</f>
        <v>44361.59844</v>
      </c>
      <c r="G24" s="7" t="s">
        <v>1741</v>
      </c>
      <c r="H24" s="46" t="s">
        <v>1742</v>
      </c>
      <c r="I24" s="7" t="s">
        <v>13</v>
      </c>
    </row>
    <row r="25">
      <c r="A25" s="5" t="s">
        <v>141</v>
      </c>
      <c r="B25" s="71" t="s">
        <v>1733</v>
      </c>
      <c r="C25" s="25">
        <v>52.0</v>
      </c>
      <c r="D25" s="96" t="b">
        <v>1</v>
      </c>
      <c r="E25" s="67">
        <v>1.623680597E9</v>
      </c>
      <c r="F25" s="68">
        <f>IFERROR(__xludf.DUMMYFUNCTION("INDEX(SPLIT(E25, char(10)), 0, 1)/86400+date(1970,1,1)"),44361.59950231481)</f>
        <v>44361.5995</v>
      </c>
      <c r="G25" s="7" t="s">
        <v>1743</v>
      </c>
      <c r="H25" s="46" t="s">
        <v>1744</v>
      </c>
      <c r="I25" s="7" t="s">
        <v>14</v>
      </c>
    </row>
    <row r="26">
      <c r="A26" s="5" t="s">
        <v>5</v>
      </c>
      <c r="B26" s="71" t="s">
        <v>1745</v>
      </c>
      <c r="C26" s="25">
        <v>67.0</v>
      </c>
      <c r="D26" s="96" t="b">
        <v>0</v>
      </c>
      <c r="E26" s="25">
        <v>1.62368071E9</v>
      </c>
      <c r="F26" s="68">
        <f>IFERROR(__xludf.DUMMYFUNCTION("INDEX(SPLIT(E26, char(10)), 0, 1)/86400+date(1970,1,1)"),44361.600810185184)</f>
        <v>44361.60081</v>
      </c>
      <c r="G26" s="5" t="s">
        <v>1746</v>
      </c>
      <c r="H26" s="46" t="s">
        <v>1747</v>
      </c>
      <c r="I26" s="5" t="s">
        <v>13</v>
      </c>
    </row>
    <row r="27">
      <c r="A27" s="5" t="s">
        <v>5</v>
      </c>
      <c r="B27" s="71" t="s">
        <v>1748</v>
      </c>
      <c r="C27" s="25">
        <v>67.0</v>
      </c>
      <c r="D27" s="96" t="b">
        <v>1</v>
      </c>
      <c r="E27" s="25">
        <v>1.623680808E9</v>
      </c>
      <c r="F27" s="68">
        <f>IFERROR(__xludf.DUMMYFUNCTION("INDEX(SPLIT(E27, char(10)), 0, 1)/86400+date(1970,1,1)"),44361.60194444444)</f>
        <v>44361.60194</v>
      </c>
      <c r="G27" s="5" t="s">
        <v>1749</v>
      </c>
      <c r="H27" s="46" t="s">
        <v>1750</v>
      </c>
      <c r="I27" s="5" t="s">
        <v>12</v>
      </c>
    </row>
    <row r="28">
      <c r="A28" s="5" t="s">
        <v>5</v>
      </c>
      <c r="B28" s="103" t="s">
        <v>1751</v>
      </c>
      <c r="C28" s="25">
        <v>67.0</v>
      </c>
      <c r="D28" s="96" t="b">
        <v>1</v>
      </c>
      <c r="E28" s="25">
        <v>1.62368092E9</v>
      </c>
      <c r="F28" s="68">
        <f>IFERROR(__xludf.DUMMYFUNCTION("INDEX(SPLIT(E28, char(10)), 0, 1)/86400+date(1970,1,1)"),44361.60324074074)</f>
        <v>44361.60324</v>
      </c>
      <c r="G28" s="5" t="s">
        <v>1752</v>
      </c>
      <c r="H28" s="46" t="s">
        <v>1753</v>
      </c>
      <c r="I28" s="5" t="s">
        <v>13</v>
      </c>
    </row>
    <row r="29">
      <c r="A29" s="5" t="s">
        <v>5</v>
      </c>
      <c r="B29" s="71" t="s">
        <v>1754</v>
      </c>
      <c r="C29" s="25">
        <v>72.0</v>
      </c>
      <c r="D29" s="96" t="b">
        <v>1</v>
      </c>
      <c r="E29" s="75">
        <v>1.623681073E9</v>
      </c>
      <c r="F29" s="68">
        <f>IFERROR(__xludf.DUMMYFUNCTION("INDEX(SPLIT(E29, char(10)), 0, 1)/86400+date(1970,1,1)"),44361.60501157407)</f>
        <v>44361.60501</v>
      </c>
      <c r="G29" s="5" t="s">
        <v>1755</v>
      </c>
      <c r="H29" s="46" t="s">
        <v>1756</v>
      </c>
      <c r="I29" s="5" t="s">
        <v>12</v>
      </c>
    </row>
    <row r="30">
      <c r="A30" s="5" t="s">
        <v>5</v>
      </c>
      <c r="B30" s="71" t="s">
        <v>1757</v>
      </c>
      <c r="C30" s="25">
        <v>72.0</v>
      </c>
      <c r="D30" s="96" t="b">
        <v>0</v>
      </c>
      <c r="E30" s="68">
        <v>1.623681315E9</v>
      </c>
      <c r="F30" s="68">
        <f>IFERROR(__xludf.DUMMYFUNCTION("INDEX(SPLIT(E30, char(10)), 0, 1)/86400+date(1970,1,1)"),44361.6078125)</f>
        <v>44361.60781</v>
      </c>
      <c r="G30" s="5" t="s">
        <v>1758</v>
      </c>
      <c r="H30" s="46" t="s">
        <v>1759</v>
      </c>
      <c r="I30" s="5" t="s">
        <v>11</v>
      </c>
    </row>
    <row r="31">
      <c r="A31" s="5" t="s">
        <v>5</v>
      </c>
      <c r="B31" s="71" t="s">
        <v>1760</v>
      </c>
      <c r="C31" s="25">
        <v>79.0</v>
      </c>
      <c r="D31" s="96" t="b">
        <v>1</v>
      </c>
      <c r="E31" s="75">
        <v>1.623681448E9</v>
      </c>
      <c r="F31" s="68">
        <f>IFERROR(__xludf.DUMMYFUNCTION("INDEX(SPLIT(E31, char(10)), 0, 1)/86400+date(1970,1,1)"),44361.60935185185)</f>
        <v>44361.60935</v>
      </c>
      <c r="G31" s="5" t="s">
        <v>1761</v>
      </c>
      <c r="H31" s="46" t="s">
        <v>1762</v>
      </c>
      <c r="I31" s="5" t="s">
        <v>13</v>
      </c>
    </row>
    <row r="32">
      <c r="A32" s="5" t="s">
        <v>5</v>
      </c>
      <c r="B32" s="71" t="s">
        <v>1763</v>
      </c>
      <c r="C32" s="25">
        <v>79.0</v>
      </c>
      <c r="D32" s="96" t="b">
        <v>1</v>
      </c>
      <c r="E32" s="75">
        <v>1.623681964E9</v>
      </c>
      <c r="F32" s="68">
        <f>IFERROR(__xludf.DUMMYFUNCTION("INDEX(SPLIT(E32, char(10)), 0, 1)/86400+date(1970,1,1)"),44361.615324074075)</f>
        <v>44361.61532</v>
      </c>
      <c r="G32" s="5" t="s">
        <v>1764</v>
      </c>
      <c r="H32" s="46" t="s">
        <v>1765</v>
      </c>
      <c r="I32" s="5" t="s">
        <v>93</v>
      </c>
    </row>
    <row r="33">
      <c r="A33" s="5" t="s">
        <v>5</v>
      </c>
      <c r="B33" s="71" t="s">
        <v>1766</v>
      </c>
      <c r="C33" s="25">
        <v>87.0</v>
      </c>
      <c r="D33" s="96" t="b">
        <v>0</v>
      </c>
      <c r="E33" s="75">
        <v>1.623682108E9</v>
      </c>
      <c r="F33" s="68">
        <f>IFERROR(__xludf.DUMMYFUNCTION("INDEX(SPLIT(E33, char(10)), 0, 1)/86400+date(1970,1,1)"),44361.616990740746)</f>
        <v>44361.61699</v>
      </c>
      <c r="G33" s="5" t="s">
        <v>1767</v>
      </c>
      <c r="H33" s="46" t="s">
        <v>1768</v>
      </c>
      <c r="I33" s="5" t="s">
        <v>13</v>
      </c>
    </row>
    <row r="34">
      <c r="A34" s="5" t="s">
        <v>5</v>
      </c>
      <c r="B34" s="71" t="s">
        <v>1769</v>
      </c>
      <c r="C34" s="25">
        <v>87.0</v>
      </c>
      <c r="D34" s="96" t="b">
        <v>0</v>
      </c>
      <c r="E34" s="71"/>
      <c r="F34" s="76"/>
      <c r="G34" s="5"/>
      <c r="H34" s="46"/>
      <c r="I34" s="5"/>
    </row>
    <row r="35">
      <c r="A35" s="5" t="s">
        <v>4</v>
      </c>
      <c r="B35" s="71" t="s">
        <v>195</v>
      </c>
      <c r="C35" s="25">
        <v>90.0</v>
      </c>
      <c r="D35" s="96" t="b">
        <v>1</v>
      </c>
      <c r="E35" s="71"/>
      <c r="F35" s="76"/>
      <c r="G35" s="5"/>
      <c r="H35" s="46"/>
      <c r="I35" s="5"/>
    </row>
    <row r="36">
      <c r="B36" s="97"/>
      <c r="E36" s="97"/>
      <c r="F36" s="98"/>
      <c r="H36" s="46"/>
      <c r="I36" s="52"/>
    </row>
    <row r="37">
      <c r="B37" s="97"/>
      <c r="E37" s="97"/>
      <c r="F37" s="98"/>
      <c r="H37" s="46"/>
      <c r="I37" s="52"/>
    </row>
    <row r="38">
      <c r="B38" s="97"/>
      <c r="E38" s="97"/>
      <c r="F38" s="98"/>
      <c r="H38" s="46"/>
      <c r="I38" s="52"/>
    </row>
    <row r="39">
      <c r="B39" s="97"/>
      <c r="E39" s="97"/>
      <c r="F39" s="98"/>
      <c r="H39" s="46"/>
      <c r="I39" s="52"/>
    </row>
    <row r="40">
      <c r="B40" s="97"/>
      <c r="E40" s="97"/>
      <c r="F40" s="98"/>
      <c r="H40" s="46"/>
      <c r="I40" s="52"/>
    </row>
    <row r="41">
      <c r="B41" s="97"/>
      <c r="E41" s="97"/>
      <c r="F41" s="98"/>
      <c r="H41" s="46"/>
      <c r="I41" s="52"/>
    </row>
    <row r="42">
      <c r="A42" s="5"/>
      <c r="B42" s="71"/>
      <c r="C42" s="25"/>
      <c r="D42" s="5"/>
      <c r="E42" s="97"/>
      <c r="F42" s="98"/>
      <c r="H42" s="46"/>
      <c r="I42" s="52"/>
    </row>
    <row r="43">
      <c r="A43" s="5"/>
      <c r="B43" s="5"/>
      <c r="C43" s="5"/>
      <c r="D43" s="5"/>
      <c r="F43" s="98"/>
      <c r="H43" s="46"/>
      <c r="I43" s="52"/>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0</v>
      </c>
      <c r="D2" s="17">
        <f t="shared" ref="D2:D6" si="2">C2/COUNTA(I$2:I1000)</f>
        <v>0</v>
      </c>
      <c r="E2" s="77">
        <v>1.623679797E9</v>
      </c>
      <c r="F2" s="68">
        <f>IFERROR(__xludf.DUMMYFUNCTION("INDEX(SPLIT(E2, char(10)), 0, 1)/86400+date(1970,1,1)"),44361.59024305556)</f>
        <v>44361.59024</v>
      </c>
      <c r="G2" s="46" t="s">
        <v>1770</v>
      </c>
      <c r="H2" s="46" t="s">
        <v>1771</v>
      </c>
      <c r="I2" s="46" t="s">
        <v>13</v>
      </c>
    </row>
    <row r="3">
      <c r="A3" s="5" t="s">
        <v>11</v>
      </c>
      <c r="B3" s="5" t="s">
        <v>111</v>
      </c>
      <c r="C3" s="25">
        <f t="shared" si="1"/>
        <v>0</v>
      </c>
      <c r="D3" s="17">
        <f t="shared" si="2"/>
        <v>0</v>
      </c>
      <c r="E3" s="77">
        <v>1.623680653E9</v>
      </c>
      <c r="F3" s="68">
        <f>IFERROR(__xludf.DUMMYFUNCTION("INDEX(SPLIT(E3, char(10)), 0, 1)/86400+date(1970,1,1)"),44361.60015046297)</f>
        <v>44361.60015</v>
      </c>
      <c r="G3" s="46" t="s">
        <v>1772</v>
      </c>
      <c r="H3" s="46" t="s">
        <v>1773</v>
      </c>
      <c r="I3" s="46" t="s">
        <v>14</v>
      </c>
    </row>
    <row r="4">
      <c r="A4" s="5" t="s">
        <v>12</v>
      </c>
      <c r="B4" s="5" t="s">
        <v>114</v>
      </c>
      <c r="C4" s="25">
        <f t="shared" si="1"/>
        <v>0</v>
      </c>
      <c r="D4" s="17">
        <f t="shared" si="2"/>
        <v>0</v>
      </c>
      <c r="E4" s="67"/>
      <c r="F4" s="68"/>
      <c r="G4" s="7"/>
      <c r="H4" s="46"/>
      <c r="I4" s="7"/>
    </row>
    <row r="5">
      <c r="A5" s="5" t="s">
        <v>13</v>
      </c>
      <c r="B5" s="5" t="s">
        <v>117</v>
      </c>
      <c r="C5" s="25">
        <f t="shared" si="1"/>
        <v>1</v>
      </c>
      <c r="D5" s="17">
        <f t="shared" si="2"/>
        <v>0.5</v>
      </c>
      <c r="E5" s="67"/>
      <c r="F5" s="68"/>
      <c r="G5" s="7"/>
      <c r="H5" s="46"/>
      <c r="I5" s="7"/>
    </row>
    <row r="6">
      <c r="A6" s="5" t="s">
        <v>14</v>
      </c>
      <c r="B6" s="5" t="s">
        <v>120</v>
      </c>
      <c r="C6" s="25">
        <f t="shared" si="1"/>
        <v>1</v>
      </c>
      <c r="D6" s="17">
        <f t="shared" si="2"/>
        <v>0.5</v>
      </c>
      <c r="E6" s="67"/>
      <c r="F6" s="68"/>
      <c r="G6" s="7"/>
      <c r="H6" s="46"/>
      <c r="I6" s="7"/>
    </row>
    <row r="7">
      <c r="A7" s="5"/>
      <c r="B7" s="5" t="s">
        <v>10</v>
      </c>
      <c r="C7" s="23">
        <f t="shared" ref="C7:D7" si="3">SUM(C2:C6)</f>
        <v>2</v>
      </c>
      <c r="D7" s="70">
        <f t="shared" si="3"/>
        <v>1</v>
      </c>
      <c r="E7" s="67"/>
      <c r="F7" s="68"/>
      <c r="G7" s="7"/>
      <c r="H7" s="46"/>
      <c r="I7" s="7"/>
    </row>
    <row r="8">
      <c r="A8" s="71"/>
      <c r="B8" s="5" t="s">
        <v>15</v>
      </c>
      <c r="C8" s="25">
        <f t="shared" ref="C8:D8" si="4">SUM(C5:C6)</f>
        <v>2</v>
      </c>
      <c r="D8" s="17">
        <f t="shared" si="4"/>
        <v>1</v>
      </c>
      <c r="E8" s="67"/>
      <c r="F8" s="68"/>
      <c r="G8" s="7"/>
      <c r="H8" s="46"/>
      <c r="I8" s="7"/>
    </row>
    <row r="9">
      <c r="A9" s="71"/>
      <c r="B9" s="5" t="s">
        <v>127</v>
      </c>
      <c r="C9" s="25">
        <f>SUM(C6:C7)</f>
        <v>3</v>
      </c>
      <c r="D9" s="17">
        <f>SUM(D5:D6) + D2</f>
        <v>1</v>
      </c>
      <c r="E9" s="67"/>
      <c r="F9" s="68"/>
      <c r="G9" s="7"/>
      <c r="H9" s="46"/>
      <c r="I9" s="7"/>
    </row>
    <row r="10">
      <c r="A10" s="71"/>
      <c r="B10" s="71"/>
      <c r="C10" s="71"/>
      <c r="D10" s="71"/>
      <c r="E10" s="67"/>
      <c r="F10" s="68"/>
      <c r="G10" s="7"/>
      <c r="H10" s="46"/>
      <c r="I10" s="7"/>
    </row>
    <row r="11">
      <c r="A11" s="71"/>
      <c r="B11" s="71"/>
      <c r="C11" s="71"/>
      <c r="D11" s="71"/>
      <c r="E11" s="67"/>
      <c r="F11" s="68"/>
      <c r="G11" s="7"/>
      <c r="H11" s="46"/>
      <c r="I11" s="7"/>
    </row>
    <row r="12">
      <c r="A12" s="13" t="s">
        <v>134</v>
      </c>
      <c r="B12" s="102" t="s">
        <v>1774</v>
      </c>
      <c r="C12" s="71"/>
      <c r="D12" s="71"/>
      <c r="E12" s="67"/>
      <c r="F12" s="68"/>
      <c r="G12" s="7"/>
      <c r="H12" s="46"/>
      <c r="I12" s="7"/>
    </row>
    <row r="13">
      <c r="A13" s="13" t="s">
        <v>138</v>
      </c>
      <c r="B13" s="71"/>
      <c r="C13" s="13" t="s">
        <v>101</v>
      </c>
      <c r="D13" s="13" t="s">
        <v>102</v>
      </c>
      <c r="E13" s="67"/>
      <c r="F13" s="68"/>
      <c r="G13" s="7"/>
      <c r="H13" s="46"/>
      <c r="I13" s="7"/>
    </row>
    <row r="14">
      <c r="A14" s="5" t="s">
        <v>141</v>
      </c>
      <c r="B14" s="5" t="s">
        <v>142</v>
      </c>
      <c r="C14" s="23">
        <f t="shared" ref="C14:C17" si="5">COUNTIF($A$19:$A1000, A14)</f>
        <v>2</v>
      </c>
      <c r="D14" s="17">
        <f>IFERROR(__xludf.DUMMYFUNCTION("IF(C14, COUNTIF(FILTER($D$19:$D1000, $A$19:$A1000=A14), TRUE)/C14, 0)"),0.5)</f>
        <v>0.5</v>
      </c>
      <c r="E14" s="67"/>
      <c r="F14" s="68"/>
      <c r="G14" s="7"/>
      <c r="H14" s="46"/>
      <c r="I14" s="7"/>
    </row>
    <row r="15">
      <c r="A15" s="5" t="s">
        <v>3</v>
      </c>
      <c r="B15" s="5" t="s">
        <v>145</v>
      </c>
      <c r="C15" s="23">
        <f t="shared" si="5"/>
        <v>0</v>
      </c>
      <c r="D15" s="17">
        <f>IFERROR(__xludf.DUMMYFUNCTION("IF(C15, COUNTIF(FILTER($D$19:$D1000, $A$19:$A1000=A15), TRUE)/C15, 0)"),0.0)</f>
        <v>0</v>
      </c>
      <c r="E15" s="67"/>
      <c r="F15" s="68"/>
      <c r="G15" s="7"/>
      <c r="H15" s="46"/>
      <c r="I15" s="7"/>
    </row>
    <row r="16">
      <c r="A16" s="5" t="s">
        <v>4</v>
      </c>
      <c r="B16" s="5" t="s">
        <v>148</v>
      </c>
      <c r="C16" s="23">
        <f t="shared" si="5"/>
        <v>4</v>
      </c>
      <c r="D16" s="17">
        <f>IFERROR(__xludf.DUMMYFUNCTION("IF(C16, COUNTIF(FILTER($D$19:$D1000, $A$19:$A1000=A16), TRUE)/C16, 0)"),0.0)</f>
        <v>0</v>
      </c>
      <c r="E16" s="67"/>
      <c r="F16" s="68"/>
      <c r="G16" s="7"/>
      <c r="H16" s="46"/>
      <c r="I16" s="7"/>
    </row>
    <row r="17">
      <c r="A17" s="5" t="s">
        <v>5</v>
      </c>
      <c r="B17" s="5" t="s">
        <v>151</v>
      </c>
      <c r="C17" s="23">
        <f t="shared" si="5"/>
        <v>10</v>
      </c>
      <c r="D17" s="17">
        <f>IFERROR(__xludf.DUMMYFUNCTION("IF(C17, COUNTIF(FILTER($D$19:$D1000, $A$19:$A1000=A17), TRUE)/C17, 0)"),0.0)</f>
        <v>0</v>
      </c>
      <c r="E17" s="67"/>
      <c r="F17" s="68"/>
      <c r="G17" s="7"/>
      <c r="H17" s="46"/>
      <c r="I17" s="7"/>
    </row>
    <row r="18">
      <c r="A18" s="71"/>
      <c r="B18" s="13" t="s">
        <v>6</v>
      </c>
      <c r="C18" s="23">
        <f>SUM(C14:C17)</f>
        <v>16</v>
      </c>
      <c r="D18" s="17">
        <f>COUNTIF($D$19:$D1000, TRUE)/SUM($C$14:$C$17)</f>
        <v>0.0625</v>
      </c>
      <c r="E18" s="67"/>
      <c r="F18" s="68"/>
      <c r="G18" s="7"/>
      <c r="H18" s="46"/>
      <c r="I18" s="7"/>
    </row>
    <row r="19">
      <c r="A19" s="13" t="s">
        <v>107</v>
      </c>
      <c r="B19" s="13" t="s">
        <v>156</v>
      </c>
      <c r="C19" s="13" t="s">
        <v>157</v>
      </c>
      <c r="D19" s="13" t="s">
        <v>158</v>
      </c>
      <c r="E19" s="67"/>
      <c r="F19" s="68"/>
      <c r="G19" s="7"/>
      <c r="H19" s="46"/>
      <c r="I19" s="7"/>
    </row>
    <row r="20">
      <c r="A20" s="5" t="s">
        <v>4</v>
      </c>
      <c r="B20" s="5" t="s">
        <v>161</v>
      </c>
      <c r="C20" s="25">
        <v>1.0</v>
      </c>
      <c r="D20" s="79" t="b">
        <v>0</v>
      </c>
      <c r="E20" s="67"/>
      <c r="F20" s="68"/>
      <c r="G20" s="7"/>
      <c r="H20" s="46"/>
      <c r="I20" s="7"/>
    </row>
    <row r="21">
      <c r="A21" s="5" t="s">
        <v>141</v>
      </c>
      <c r="B21" s="5" t="s">
        <v>1733</v>
      </c>
      <c r="C21" s="25">
        <v>42.0</v>
      </c>
      <c r="D21" s="79" t="b">
        <v>0</v>
      </c>
      <c r="E21" s="67"/>
      <c r="F21" s="68"/>
      <c r="G21" s="7"/>
      <c r="H21" s="46"/>
      <c r="I21" s="7"/>
    </row>
    <row r="22">
      <c r="A22" s="5" t="s">
        <v>4</v>
      </c>
      <c r="B22" s="5" t="s">
        <v>167</v>
      </c>
      <c r="C22" s="25">
        <v>45.0</v>
      </c>
      <c r="D22" s="79" t="b">
        <v>0</v>
      </c>
      <c r="E22" s="67"/>
      <c r="F22" s="68"/>
      <c r="G22" s="7"/>
      <c r="H22" s="46"/>
      <c r="I22" s="7"/>
    </row>
    <row r="23">
      <c r="A23" s="5" t="s">
        <v>4</v>
      </c>
      <c r="B23" s="5" t="s">
        <v>170</v>
      </c>
      <c r="C23" s="25">
        <v>46.0</v>
      </c>
      <c r="D23" s="79" t="b">
        <v>0</v>
      </c>
      <c r="E23" s="67"/>
      <c r="F23" s="68"/>
      <c r="G23" s="7"/>
      <c r="H23" s="46"/>
      <c r="I23" s="7"/>
    </row>
    <row r="24">
      <c r="A24" s="5" t="s">
        <v>5</v>
      </c>
      <c r="B24" s="5" t="s">
        <v>1740</v>
      </c>
      <c r="C24" s="25">
        <v>46.0</v>
      </c>
      <c r="D24" s="79" t="b">
        <v>0</v>
      </c>
      <c r="E24" s="67"/>
      <c r="F24" s="68"/>
      <c r="G24" s="7"/>
      <c r="H24" s="46"/>
      <c r="I24" s="7"/>
    </row>
    <row r="25">
      <c r="A25" s="5" t="s">
        <v>141</v>
      </c>
      <c r="B25" s="71" t="s">
        <v>1733</v>
      </c>
      <c r="C25" s="25">
        <v>52.0</v>
      </c>
      <c r="D25" s="79" t="b">
        <v>1</v>
      </c>
      <c r="E25" s="67"/>
      <c r="F25" s="68"/>
      <c r="G25" s="7"/>
      <c r="H25" s="46"/>
      <c r="I25" s="7"/>
    </row>
    <row r="26">
      <c r="A26" s="5" t="s">
        <v>5</v>
      </c>
      <c r="B26" s="71" t="s">
        <v>1745</v>
      </c>
      <c r="C26" s="25">
        <v>67.0</v>
      </c>
      <c r="D26" s="79" t="b">
        <v>0</v>
      </c>
      <c r="E26" s="25"/>
      <c r="F26" s="68"/>
      <c r="G26" s="5"/>
      <c r="H26" s="46"/>
      <c r="I26" s="5"/>
    </row>
    <row r="27">
      <c r="A27" s="5" t="s">
        <v>5</v>
      </c>
      <c r="B27" s="71" t="s">
        <v>1748</v>
      </c>
      <c r="C27" s="25">
        <v>67.0</v>
      </c>
      <c r="D27" s="79" t="b">
        <v>0</v>
      </c>
      <c r="E27" s="25"/>
      <c r="F27" s="68"/>
      <c r="G27" s="5"/>
      <c r="H27" s="46"/>
      <c r="I27" s="5"/>
    </row>
    <row r="28">
      <c r="A28" s="5" t="s">
        <v>5</v>
      </c>
      <c r="B28" s="103" t="s">
        <v>1751</v>
      </c>
      <c r="C28" s="25">
        <v>67.0</v>
      </c>
      <c r="D28" s="79" t="b">
        <v>0</v>
      </c>
      <c r="E28" s="25"/>
      <c r="F28" s="68"/>
      <c r="G28" s="5"/>
      <c r="H28" s="46"/>
      <c r="I28" s="5"/>
    </row>
    <row r="29">
      <c r="A29" s="5" t="s">
        <v>5</v>
      </c>
      <c r="B29" s="71" t="s">
        <v>1754</v>
      </c>
      <c r="C29" s="25">
        <v>72.0</v>
      </c>
      <c r="D29" s="79" t="b">
        <v>0</v>
      </c>
      <c r="E29" s="75"/>
      <c r="F29" s="68"/>
      <c r="G29" s="5"/>
      <c r="H29" s="46"/>
      <c r="I29" s="5"/>
    </row>
    <row r="30">
      <c r="A30" s="5" t="s">
        <v>5</v>
      </c>
      <c r="B30" s="71" t="s">
        <v>1757</v>
      </c>
      <c r="C30" s="25">
        <v>72.0</v>
      </c>
      <c r="D30" s="79" t="b">
        <v>0</v>
      </c>
      <c r="E30" s="68"/>
      <c r="F30" s="68"/>
      <c r="G30" s="5"/>
      <c r="H30" s="46"/>
      <c r="I30" s="5"/>
    </row>
    <row r="31">
      <c r="A31" s="5" t="s">
        <v>5</v>
      </c>
      <c r="B31" s="71" t="s">
        <v>1760</v>
      </c>
      <c r="C31" s="25">
        <v>79.0</v>
      </c>
      <c r="D31" s="79" t="b">
        <v>0</v>
      </c>
      <c r="E31" s="75"/>
      <c r="F31" s="68"/>
      <c r="G31" s="5"/>
      <c r="H31" s="46"/>
      <c r="I31" s="5"/>
    </row>
    <row r="32">
      <c r="A32" s="5" t="s">
        <v>5</v>
      </c>
      <c r="B32" s="71" t="s">
        <v>1763</v>
      </c>
      <c r="C32" s="25">
        <v>79.0</v>
      </c>
      <c r="D32" s="79" t="b">
        <v>0</v>
      </c>
      <c r="E32" s="75"/>
      <c r="F32" s="68"/>
      <c r="G32" s="5"/>
      <c r="H32" s="46"/>
      <c r="I32" s="5"/>
    </row>
    <row r="33">
      <c r="A33" s="5" t="s">
        <v>5</v>
      </c>
      <c r="B33" s="71" t="s">
        <v>1766</v>
      </c>
      <c r="C33" s="25">
        <v>87.0</v>
      </c>
      <c r="D33" s="79" t="b">
        <v>0</v>
      </c>
      <c r="E33" s="75"/>
      <c r="F33" s="68"/>
      <c r="G33" s="5"/>
      <c r="H33" s="46"/>
      <c r="I33" s="5"/>
    </row>
    <row r="34">
      <c r="A34" s="5" t="s">
        <v>5</v>
      </c>
      <c r="B34" s="71" t="s">
        <v>1769</v>
      </c>
      <c r="C34" s="25">
        <v>87.0</v>
      </c>
      <c r="D34" s="79" t="b">
        <v>0</v>
      </c>
      <c r="E34" s="71"/>
      <c r="F34" s="76"/>
      <c r="G34" s="5"/>
      <c r="H34" s="46"/>
      <c r="I34" s="5"/>
    </row>
    <row r="35">
      <c r="A35" s="5" t="s">
        <v>4</v>
      </c>
      <c r="B35" s="71" t="s">
        <v>195</v>
      </c>
      <c r="C35" s="25">
        <v>90.0</v>
      </c>
      <c r="D35" s="79" t="b">
        <v>0</v>
      </c>
      <c r="E35" s="71"/>
      <c r="F35" s="76"/>
      <c r="G35" s="5"/>
      <c r="H35" s="46"/>
      <c r="I35" s="5"/>
    </row>
    <row r="36">
      <c r="B36" s="97"/>
      <c r="E36" s="97"/>
      <c r="F36" s="98"/>
      <c r="H36" s="46"/>
      <c r="I36" s="52"/>
    </row>
    <row r="37">
      <c r="E37" s="97"/>
      <c r="F37" s="98"/>
      <c r="H37" s="46"/>
      <c r="I37" s="52"/>
    </row>
    <row r="38">
      <c r="E38" s="97"/>
      <c r="F38" s="98"/>
      <c r="H38" s="46"/>
      <c r="I38" s="52"/>
    </row>
    <row r="39">
      <c r="E39" s="97"/>
      <c r="F39" s="98"/>
      <c r="H39" s="46"/>
      <c r="I39" s="52"/>
    </row>
    <row r="40">
      <c r="B40" s="97"/>
      <c r="E40" s="97"/>
      <c r="F40" s="98"/>
      <c r="H40" s="46"/>
      <c r="I40" s="52"/>
    </row>
    <row r="41">
      <c r="B41" s="97"/>
      <c r="E41" s="97"/>
      <c r="F41" s="98"/>
      <c r="H41" s="46"/>
      <c r="I41" s="52"/>
    </row>
    <row r="42">
      <c r="A42" s="5"/>
      <c r="B42" s="71"/>
      <c r="C42" s="25"/>
      <c r="D42" s="5"/>
      <c r="E42" s="97"/>
      <c r="F42" s="98"/>
      <c r="H42" s="46"/>
      <c r="I42" s="52"/>
    </row>
    <row r="43">
      <c r="A43" s="5"/>
      <c r="B43" s="5"/>
      <c r="C43" s="5"/>
      <c r="D43" s="5"/>
      <c r="F43" s="98"/>
      <c r="H43" s="46"/>
      <c r="I43" s="52"/>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5</v>
      </c>
      <c r="D2" s="17">
        <f t="shared" ref="D2:D6" si="2">C2/COUNTA(I$2:I1000)</f>
        <v>0.4166666667</v>
      </c>
      <c r="E2" s="77">
        <v>1.623677007E9</v>
      </c>
      <c r="F2" s="68">
        <f>IFERROR(__xludf.DUMMYFUNCTION("INDEX(SPLIT(E2, char(10)), 0, 1)/86400+date(1970,1,1)"),44361.55795138889)</f>
        <v>44361.55795</v>
      </c>
      <c r="G2" s="46" t="s">
        <v>1775</v>
      </c>
      <c r="H2" s="46" t="s">
        <v>1776</v>
      </c>
      <c r="I2" s="46" t="s">
        <v>12</v>
      </c>
    </row>
    <row r="3">
      <c r="A3" s="5" t="s">
        <v>11</v>
      </c>
      <c r="B3" s="5" t="s">
        <v>111</v>
      </c>
      <c r="C3" s="25">
        <f t="shared" si="1"/>
        <v>0</v>
      </c>
      <c r="D3" s="17">
        <f t="shared" si="2"/>
        <v>0</v>
      </c>
      <c r="E3" s="77">
        <v>1.623678207E9</v>
      </c>
      <c r="F3" s="68">
        <f>IFERROR(__xludf.DUMMYFUNCTION("INDEX(SPLIT(E3, char(10)), 0, 1)/86400+date(1970,1,1)"),44361.57184027778)</f>
        <v>44361.57184</v>
      </c>
      <c r="G3" s="46" t="s">
        <v>1777</v>
      </c>
      <c r="H3" s="46" t="s">
        <v>1778</v>
      </c>
      <c r="I3" s="46" t="s">
        <v>13</v>
      </c>
    </row>
    <row r="4">
      <c r="A4" s="5" t="s">
        <v>12</v>
      </c>
      <c r="B4" s="5" t="s">
        <v>114</v>
      </c>
      <c r="C4" s="25">
        <f t="shared" si="1"/>
        <v>1</v>
      </c>
      <c r="D4" s="17">
        <f t="shared" si="2"/>
        <v>0.08333333333</v>
      </c>
      <c r="E4" s="77">
        <v>1.623679395E9</v>
      </c>
      <c r="F4" s="68">
        <f>IFERROR(__xludf.DUMMYFUNCTION("INDEX(SPLIT(E4, char(10)), 0, 1)/86400+date(1970,1,1)"),44361.58559027778)</f>
        <v>44361.58559</v>
      </c>
      <c r="G4" s="46" t="s">
        <v>1779</v>
      </c>
      <c r="H4" s="46" t="s">
        <v>1780</v>
      </c>
      <c r="I4" s="46" t="s">
        <v>13</v>
      </c>
    </row>
    <row r="5">
      <c r="A5" s="5" t="s">
        <v>13</v>
      </c>
      <c r="B5" s="5" t="s">
        <v>117</v>
      </c>
      <c r="C5" s="25">
        <f t="shared" si="1"/>
        <v>4</v>
      </c>
      <c r="D5" s="17">
        <f t="shared" si="2"/>
        <v>0.3333333333</v>
      </c>
      <c r="E5" s="77">
        <v>1.623679805E9</v>
      </c>
      <c r="F5" s="68">
        <f>IFERROR(__xludf.DUMMYFUNCTION("INDEX(SPLIT(E5, char(10)), 0, 1)/86400+date(1970,1,1)"),44361.59033564814)</f>
        <v>44361.59034</v>
      </c>
      <c r="G5" s="46" t="s">
        <v>1781</v>
      </c>
      <c r="H5" s="46" t="s">
        <v>1782</v>
      </c>
      <c r="I5" s="46" t="s">
        <v>13</v>
      </c>
    </row>
    <row r="6">
      <c r="A6" s="5" t="s">
        <v>14</v>
      </c>
      <c r="B6" s="5" t="s">
        <v>120</v>
      </c>
      <c r="C6" s="25">
        <f t="shared" si="1"/>
        <v>2</v>
      </c>
      <c r="D6" s="17">
        <f t="shared" si="2"/>
        <v>0.1666666667</v>
      </c>
      <c r="E6" s="77">
        <v>1.623679933E9</v>
      </c>
      <c r="F6" s="68">
        <f>IFERROR(__xludf.DUMMYFUNCTION("INDEX(SPLIT(E6, char(10)), 0, 1)/86400+date(1970,1,1)"),44361.59181712963)</f>
        <v>44361.59182</v>
      </c>
      <c r="G6" s="46" t="s">
        <v>1783</v>
      </c>
      <c r="H6" s="46" t="s">
        <v>1784</v>
      </c>
      <c r="I6" s="46" t="s">
        <v>14</v>
      </c>
    </row>
    <row r="7">
      <c r="A7" s="5"/>
      <c r="B7" s="5" t="s">
        <v>10</v>
      </c>
      <c r="C7" s="23">
        <f t="shared" ref="C7:D7" si="3">SUM(C2:C6)</f>
        <v>12</v>
      </c>
      <c r="D7" s="70">
        <f t="shared" si="3"/>
        <v>1</v>
      </c>
      <c r="E7" s="77">
        <v>1.623680092E9</v>
      </c>
      <c r="F7" s="68">
        <f>IFERROR(__xludf.DUMMYFUNCTION("INDEX(SPLIT(E7, char(10)), 0, 1)/86400+date(1970,1,1)"),44361.59365740741)</f>
        <v>44361.59366</v>
      </c>
      <c r="G7" s="46" t="s">
        <v>1785</v>
      </c>
      <c r="H7" s="46" t="s">
        <v>1786</v>
      </c>
      <c r="I7" s="46" t="s">
        <v>93</v>
      </c>
    </row>
    <row r="8">
      <c r="A8" s="71"/>
      <c r="B8" s="5" t="s">
        <v>15</v>
      </c>
      <c r="C8" s="25">
        <f t="shared" ref="C8:D8" si="4">SUM(C5:C6)</f>
        <v>6</v>
      </c>
      <c r="D8" s="17">
        <f t="shared" si="4"/>
        <v>0.5</v>
      </c>
      <c r="E8" s="77">
        <v>1.623680538E9</v>
      </c>
      <c r="F8" s="68">
        <f>IFERROR(__xludf.DUMMYFUNCTION("INDEX(SPLIT(E8, char(10)), 0, 1)/86400+date(1970,1,1)"),44361.59881944444)</f>
        <v>44361.59882</v>
      </c>
      <c r="G8" s="46" t="s">
        <v>1787</v>
      </c>
      <c r="H8" s="46" t="s">
        <v>1788</v>
      </c>
      <c r="I8" s="46" t="s">
        <v>93</v>
      </c>
    </row>
    <row r="9">
      <c r="A9" s="71"/>
      <c r="B9" s="5" t="s">
        <v>127</v>
      </c>
      <c r="C9" s="25">
        <f>SUM(C6:C7)</f>
        <v>14</v>
      </c>
      <c r="D9" s="17">
        <f>SUM(D5:D6) + D2</f>
        <v>0.9166666667</v>
      </c>
      <c r="E9" s="77">
        <v>1.62368064E9</v>
      </c>
      <c r="F9" s="68">
        <f>IFERROR(__xludf.DUMMYFUNCTION("INDEX(SPLIT(E9, char(10)), 0, 1)/86400+date(1970,1,1)"),44361.6)</f>
        <v>44361.6</v>
      </c>
      <c r="G9" s="46" t="s">
        <v>1789</v>
      </c>
      <c r="H9" s="46" t="s">
        <v>1790</v>
      </c>
      <c r="I9" s="46" t="s">
        <v>14</v>
      </c>
    </row>
    <row r="10">
      <c r="A10" s="71"/>
      <c r="B10" s="71"/>
      <c r="C10" s="71"/>
      <c r="D10" s="71"/>
      <c r="E10" s="77">
        <v>1.623680803E9</v>
      </c>
      <c r="F10" s="68">
        <f>IFERROR(__xludf.DUMMYFUNCTION("INDEX(SPLIT(E10, char(10)), 0, 1)/86400+date(1970,1,1)"),44361.60188657408)</f>
        <v>44361.60189</v>
      </c>
      <c r="G10" s="46" t="s">
        <v>1791</v>
      </c>
      <c r="H10" s="46" t="s">
        <v>1792</v>
      </c>
      <c r="I10" s="46" t="s">
        <v>93</v>
      </c>
    </row>
    <row r="11">
      <c r="A11" s="71"/>
      <c r="B11" s="71"/>
      <c r="C11" s="71"/>
      <c r="D11" s="71"/>
      <c r="E11" s="77">
        <v>1.62368128E9</v>
      </c>
      <c r="F11" s="68">
        <f>IFERROR(__xludf.DUMMYFUNCTION("INDEX(SPLIT(E11, char(10)), 0, 1)/86400+date(1970,1,1)"),44361.607407407406)</f>
        <v>44361.60741</v>
      </c>
      <c r="G11" s="46" t="s">
        <v>1787</v>
      </c>
      <c r="H11" s="46" t="s">
        <v>1793</v>
      </c>
      <c r="I11" s="46" t="s">
        <v>93</v>
      </c>
    </row>
    <row r="12">
      <c r="A12" s="13" t="s">
        <v>134</v>
      </c>
      <c r="B12" s="102" t="s">
        <v>1794</v>
      </c>
      <c r="C12" s="71"/>
      <c r="D12" s="71"/>
      <c r="E12" s="77">
        <v>1.623681379E9</v>
      </c>
      <c r="F12" s="68">
        <f>IFERROR(__xludf.DUMMYFUNCTION("INDEX(SPLIT(E12, char(10)), 0, 1)/86400+date(1970,1,1)"),44361.608553240745)</f>
        <v>44361.60855</v>
      </c>
      <c r="G12" s="46" t="s">
        <v>1795</v>
      </c>
      <c r="H12" s="46" t="s">
        <v>1796</v>
      </c>
      <c r="I12" s="46" t="s">
        <v>13</v>
      </c>
    </row>
    <row r="13">
      <c r="A13" s="13" t="s">
        <v>138</v>
      </c>
      <c r="B13" s="71"/>
      <c r="C13" s="13" t="s">
        <v>101</v>
      </c>
      <c r="D13" s="13" t="s">
        <v>102</v>
      </c>
      <c r="E13" s="77">
        <v>1.623681757E9</v>
      </c>
      <c r="F13" s="68">
        <f>IFERROR(__xludf.DUMMYFUNCTION("INDEX(SPLIT(E13, char(10)), 0, 1)/86400+date(1970,1,1)"),44361.61292824074)</f>
        <v>44361.61293</v>
      </c>
      <c r="G13" s="46" t="s">
        <v>1797</v>
      </c>
      <c r="H13" s="46" t="s">
        <v>1798</v>
      </c>
      <c r="I13" s="46" t="s">
        <v>93</v>
      </c>
    </row>
    <row r="14">
      <c r="A14" s="5" t="s">
        <v>141</v>
      </c>
      <c r="B14" s="5" t="s">
        <v>142</v>
      </c>
      <c r="C14" s="23">
        <f t="shared" ref="C14:C17" si="5">COUNTIF($A$19:$A1000, A14)</f>
        <v>2</v>
      </c>
      <c r="D14" s="17">
        <f>IFERROR(__xludf.DUMMYFUNCTION("IF(C14, COUNTIF(FILTER($D$19:$D1000, $A$19:$A1000=A14), TRUE)/C14, 0)"),1.0)</f>
        <v>1</v>
      </c>
      <c r="E14" s="67"/>
      <c r="F14" s="68"/>
      <c r="G14" s="7"/>
      <c r="H14" s="46"/>
      <c r="I14" s="7"/>
    </row>
    <row r="15">
      <c r="A15" s="5" t="s">
        <v>3</v>
      </c>
      <c r="B15" s="5" t="s">
        <v>145</v>
      </c>
      <c r="C15" s="23">
        <f t="shared" si="5"/>
        <v>0</v>
      </c>
      <c r="D15" s="17">
        <f>IFERROR(__xludf.DUMMYFUNCTION("IF(C15, COUNTIF(FILTER($D$19:$D1000, $A$19:$A1000=A15), TRUE)/C15, 0)"),0.0)</f>
        <v>0</v>
      </c>
      <c r="E15" s="67"/>
      <c r="F15" s="68"/>
      <c r="G15" s="7"/>
      <c r="H15" s="46"/>
      <c r="I15" s="7"/>
    </row>
    <row r="16">
      <c r="A16" s="5" t="s">
        <v>4</v>
      </c>
      <c r="B16" s="5" t="s">
        <v>148</v>
      </c>
      <c r="C16" s="23">
        <f t="shared" si="5"/>
        <v>4</v>
      </c>
      <c r="D16" s="17">
        <f>IFERROR(__xludf.DUMMYFUNCTION("IF(C16, COUNTIF(FILTER($D$19:$D1000, $A$19:$A1000=A16), TRUE)/C16, 0)"),0.25)</f>
        <v>0.25</v>
      </c>
      <c r="E16" s="67"/>
      <c r="F16" s="68"/>
      <c r="G16" s="7"/>
      <c r="H16" s="46"/>
      <c r="I16" s="7"/>
    </row>
    <row r="17">
      <c r="A17" s="5" t="s">
        <v>5</v>
      </c>
      <c r="B17" s="5" t="s">
        <v>151</v>
      </c>
      <c r="C17" s="23">
        <f t="shared" si="5"/>
        <v>10</v>
      </c>
      <c r="D17" s="17">
        <f>IFERROR(__xludf.DUMMYFUNCTION("IF(C17, COUNTIF(FILTER($D$19:$D1000, $A$19:$A1000=A17), TRUE)/C17, 0)"),0.2)</f>
        <v>0.2</v>
      </c>
      <c r="E17" s="67"/>
      <c r="F17" s="68"/>
      <c r="G17" s="7"/>
      <c r="H17" s="46"/>
      <c r="I17" s="7"/>
    </row>
    <row r="18">
      <c r="A18" s="71"/>
      <c r="B18" s="13" t="s">
        <v>6</v>
      </c>
      <c r="C18" s="23">
        <f>SUM(C14:C17)</f>
        <v>16</v>
      </c>
      <c r="D18" s="17">
        <f>COUNTIF($D$19:$D1000, TRUE)/SUM($C$14:$C$17)</f>
        <v>0.3125</v>
      </c>
      <c r="E18" s="67"/>
      <c r="F18" s="68"/>
      <c r="G18" s="7"/>
      <c r="H18" s="46"/>
      <c r="I18" s="7"/>
    </row>
    <row r="19">
      <c r="A19" s="13" t="s">
        <v>107</v>
      </c>
      <c r="B19" s="13" t="s">
        <v>156</v>
      </c>
      <c r="C19" s="13" t="s">
        <v>157</v>
      </c>
      <c r="D19" s="13" t="s">
        <v>158</v>
      </c>
      <c r="E19" s="67"/>
      <c r="F19" s="68"/>
      <c r="G19" s="7"/>
      <c r="H19" s="46"/>
      <c r="I19" s="7"/>
    </row>
    <row r="20">
      <c r="A20" s="5" t="s">
        <v>4</v>
      </c>
      <c r="B20" s="5" t="s">
        <v>161</v>
      </c>
      <c r="C20" s="25">
        <v>1.0</v>
      </c>
      <c r="D20" s="79" t="b">
        <v>0</v>
      </c>
      <c r="E20" s="67"/>
      <c r="F20" s="68"/>
      <c r="G20" s="7"/>
      <c r="H20" s="46"/>
      <c r="I20" s="7"/>
    </row>
    <row r="21">
      <c r="A21" s="5" t="s">
        <v>141</v>
      </c>
      <c r="B21" s="5" t="s">
        <v>1733</v>
      </c>
      <c r="C21" s="25">
        <v>42.0</v>
      </c>
      <c r="D21" s="79" t="b">
        <v>1</v>
      </c>
      <c r="E21" s="67"/>
      <c r="F21" s="68"/>
      <c r="G21" s="7"/>
      <c r="H21" s="46"/>
      <c r="I21" s="7"/>
    </row>
    <row r="22">
      <c r="A22" s="5" t="s">
        <v>4</v>
      </c>
      <c r="B22" s="5" t="s">
        <v>167</v>
      </c>
      <c r="C22" s="25">
        <v>45.0</v>
      </c>
      <c r="D22" s="79" t="b">
        <v>0</v>
      </c>
      <c r="E22" s="67"/>
      <c r="F22" s="68"/>
      <c r="G22" s="7"/>
      <c r="H22" s="46"/>
      <c r="I22" s="7"/>
    </row>
    <row r="23">
      <c r="A23" s="5" t="s">
        <v>4</v>
      </c>
      <c r="B23" s="5" t="s">
        <v>170</v>
      </c>
      <c r="C23" s="25">
        <v>46.0</v>
      </c>
      <c r="D23" s="79" t="b">
        <v>1</v>
      </c>
      <c r="E23" s="67"/>
      <c r="F23" s="68"/>
      <c r="G23" s="7"/>
      <c r="H23" s="46"/>
      <c r="I23" s="7"/>
    </row>
    <row r="24">
      <c r="A24" s="5" t="s">
        <v>5</v>
      </c>
      <c r="B24" s="5" t="s">
        <v>1740</v>
      </c>
      <c r="C24" s="25">
        <v>46.0</v>
      </c>
      <c r="D24" s="79" t="b">
        <v>1</v>
      </c>
      <c r="E24" s="67"/>
      <c r="F24" s="68"/>
      <c r="G24" s="7"/>
      <c r="H24" s="46"/>
      <c r="I24" s="7"/>
    </row>
    <row r="25">
      <c r="A25" s="5" t="s">
        <v>141</v>
      </c>
      <c r="B25" s="71" t="s">
        <v>1733</v>
      </c>
      <c r="C25" s="25">
        <v>52.0</v>
      </c>
      <c r="D25" s="79" t="b">
        <v>1</v>
      </c>
      <c r="E25" s="67"/>
      <c r="F25" s="68"/>
      <c r="G25" s="7"/>
      <c r="H25" s="46"/>
      <c r="I25" s="7"/>
    </row>
    <row r="26">
      <c r="A26" s="5" t="s">
        <v>5</v>
      </c>
      <c r="B26" s="71" t="s">
        <v>1745</v>
      </c>
      <c r="C26" s="25">
        <v>67.0</v>
      </c>
      <c r="D26" s="79" t="b">
        <v>0</v>
      </c>
      <c r="E26" s="25"/>
      <c r="F26" s="68"/>
      <c r="G26" s="5"/>
      <c r="H26" s="46"/>
      <c r="I26" s="5"/>
    </row>
    <row r="27">
      <c r="A27" s="5" t="s">
        <v>5</v>
      </c>
      <c r="B27" s="71" t="s">
        <v>1748</v>
      </c>
      <c r="C27" s="25">
        <v>67.0</v>
      </c>
      <c r="D27" s="79" t="b">
        <v>0</v>
      </c>
      <c r="E27" s="25"/>
      <c r="F27" s="68"/>
      <c r="G27" s="5"/>
      <c r="H27" s="46"/>
      <c r="I27" s="5"/>
    </row>
    <row r="28">
      <c r="A28" s="5" t="s">
        <v>5</v>
      </c>
      <c r="B28" s="103" t="s">
        <v>1751</v>
      </c>
      <c r="C28" s="25">
        <v>67.0</v>
      </c>
      <c r="D28" s="79" t="b">
        <v>0</v>
      </c>
      <c r="E28" s="25"/>
      <c r="F28" s="68"/>
      <c r="G28" s="5"/>
      <c r="H28" s="46"/>
      <c r="I28" s="5"/>
    </row>
    <row r="29">
      <c r="A29" s="5" t="s">
        <v>5</v>
      </c>
      <c r="B29" s="71" t="s">
        <v>1754</v>
      </c>
      <c r="C29" s="25">
        <v>72.0</v>
      </c>
      <c r="D29" s="79" t="b">
        <v>0</v>
      </c>
      <c r="E29" s="75"/>
      <c r="F29" s="68"/>
      <c r="G29" s="5"/>
      <c r="H29" s="46"/>
      <c r="I29" s="5"/>
    </row>
    <row r="30">
      <c r="A30" s="5" t="s">
        <v>5</v>
      </c>
      <c r="B30" s="71" t="s">
        <v>1757</v>
      </c>
      <c r="C30" s="25">
        <v>72.0</v>
      </c>
      <c r="D30" s="79" t="b">
        <v>0</v>
      </c>
      <c r="E30" s="68"/>
      <c r="F30" s="68"/>
      <c r="G30" s="5"/>
      <c r="H30" s="46"/>
      <c r="I30" s="5"/>
    </row>
    <row r="31">
      <c r="A31" s="5" t="s">
        <v>5</v>
      </c>
      <c r="B31" s="71" t="s">
        <v>1760</v>
      </c>
      <c r="C31" s="25">
        <v>79.0</v>
      </c>
      <c r="D31" s="79" t="b">
        <v>0</v>
      </c>
      <c r="E31" s="75"/>
      <c r="F31" s="68"/>
      <c r="G31" s="5"/>
      <c r="H31" s="46"/>
      <c r="I31" s="5"/>
    </row>
    <row r="32">
      <c r="A32" s="5" t="s">
        <v>5</v>
      </c>
      <c r="B32" s="71" t="s">
        <v>1763</v>
      </c>
      <c r="C32" s="25">
        <v>79.0</v>
      </c>
      <c r="D32" s="79" t="b">
        <v>1</v>
      </c>
      <c r="E32" s="75"/>
      <c r="F32" s="68"/>
      <c r="G32" s="5"/>
      <c r="H32" s="46"/>
      <c r="I32" s="5"/>
    </row>
    <row r="33">
      <c r="A33" s="5" t="s">
        <v>5</v>
      </c>
      <c r="B33" s="71" t="s">
        <v>1766</v>
      </c>
      <c r="C33" s="25">
        <v>87.0</v>
      </c>
      <c r="D33" s="79" t="b">
        <v>0</v>
      </c>
      <c r="E33" s="75"/>
      <c r="F33" s="68"/>
      <c r="G33" s="5"/>
      <c r="H33" s="46"/>
      <c r="I33" s="5"/>
    </row>
    <row r="34">
      <c r="A34" s="5" t="s">
        <v>5</v>
      </c>
      <c r="B34" s="71" t="s">
        <v>1769</v>
      </c>
      <c r="C34" s="25">
        <v>87.0</v>
      </c>
      <c r="D34" s="79" t="b">
        <v>0</v>
      </c>
      <c r="E34" s="71"/>
      <c r="F34" s="76"/>
      <c r="G34" s="5"/>
      <c r="H34" s="46"/>
      <c r="I34" s="5"/>
    </row>
    <row r="35">
      <c r="A35" s="5" t="s">
        <v>4</v>
      </c>
      <c r="B35" s="71" t="s">
        <v>195</v>
      </c>
      <c r="C35" s="25">
        <v>90.0</v>
      </c>
      <c r="D35" s="79" t="b">
        <v>0</v>
      </c>
      <c r="E35" s="71"/>
      <c r="F35" s="76"/>
      <c r="G35" s="5"/>
      <c r="H35" s="46"/>
      <c r="I35" s="5"/>
    </row>
    <row r="36">
      <c r="B36" s="97"/>
      <c r="E36" s="97"/>
      <c r="F36" s="98"/>
      <c r="H36" s="46"/>
      <c r="I36" s="52"/>
    </row>
    <row r="37">
      <c r="E37" s="97"/>
      <c r="F37" s="98"/>
      <c r="H37" s="46"/>
      <c r="I37" s="52"/>
    </row>
    <row r="38">
      <c r="E38" s="97"/>
      <c r="F38" s="98"/>
      <c r="H38" s="46"/>
      <c r="I38" s="52"/>
    </row>
    <row r="39">
      <c r="E39" s="97"/>
      <c r="F39" s="98"/>
      <c r="H39" s="46"/>
      <c r="I39" s="52"/>
    </row>
    <row r="40">
      <c r="E40" s="97"/>
      <c r="F40" s="98"/>
      <c r="H40" s="46"/>
      <c r="I40" s="52"/>
    </row>
    <row r="41">
      <c r="E41" s="97"/>
      <c r="F41" s="98"/>
      <c r="H41" s="46"/>
      <c r="I41" s="52"/>
    </row>
    <row r="42">
      <c r="A42" s="46"/>
      <c r="B42" s="46"/>
      <c r="C42" s="77"/>
      <c r="D42" s="5"/>
      <c r="E42" s="97"/>
      <c r="F42" s="98"/>
      <c r="H42" s="46"/>
      <c r="I42" s="52"/>
    </row>
    <row r="43">
      <c r="A43" s="46"/>
      <c r="B43" s="46"/>
      <c r="C43" s="46"/>
      <c r="D43" s="5"/>
      <c r="F43" s="98"/>
      <c r="H43" s="46"/>
      <c r="I43" s="52"/>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3</v>
      </c>
      <c r="D2" s="17">
        <f t="shared" ref="D2:D6" si="2">C2/COUNTA(I$2:I1000)</f>
        <v>0.1428571429</v>
      </c>
      <c r="E2" s="77">
        <v>1.623676798E9</v>
      </c>
      <c r="F2" s="68">
        <f>IFERROR(__xludf.DUMMYFUNCTION("INDEX(SPLIT(E2, char(10)), 0, 1)/86400+date(1970,1,1)"),44361.55553240741)</f>
        <v>44361.55553</v>
      </c>
      <c r="G2" s="46" t="s">
        <v>1799</v>
      </c>
      <c r="H2" s="46" t="s">
        <v>1800</v>
      </c>
      <c r="I2" s="46" t="s">
        <v>11</v>
      </c>
    </row>
    <row r="3">
      <c r="A3" s="5" t="s">
        <v>11</v>
      </c>
      <c r="B3" s="5" t="s">
        <v>111</v>
      </c>
      <c r="C3" s="25">
        <f t="shared" si="1"/>
        <v>4</v>
      </c>
      <c r="D3" s="17">
        <f t="shared" si="2"/>
        <v>0.1904761905</v>
      </c>
      <c r="E3" s="77">
        <v>1.623676946E9</v>
      </c>
      <c r="F3" s="68">
        <f>IFERROR(__xludf.DUMMYFUNCTION("INDEX(SPLIT(E3, char(10)), 0, 1)/86400+date(1970,1,1)"),44361.55724537037)</f>
        <v>44361.55725</v>
      </c>
      <c r="G3" s="46" t="s">
        <v>1801</v>
      </c>
      <c r="H3" s="46" t="s">
        <v>1802</v>
      </c>
      <c r="I3" s="46" t="s">
        <v>11</v>
      </c>
    </row>
    <row r="4">
      <c r="A4" s="5" t="s">
        <v>12</v>
      </c>
      <c r="B4" s="5" t="s">
        <v>114</v>
      </c>
      <c r="C4" s="25">
        <f t="shared" si="1"/>
        <v>3</v>
      </c>
      <c r="D4" s="17">
        <f t="shared" si="2"/>
        <v>0.1428571429</v>
      </c>
      <c r="E4" s="77">
        <v>1.623677592E9</v>
      </c>
      <c r="F4" s="68">
        <f>IFERROR(__xludf.DUMMYFUNCTION("INDEX(SPLIT(E4, char(10)), 0, 1)/86400+date(1970,1,1)"),44361.56472222222)</f>
        <v>44361.56472</v>
      </c>
      <c r="G4" s="46" t="s">
        <v>1803</v>
      </c>
      <c r="H4" s="46" t="s">
        <v>1804</v>
      </c>
      <c r="I4" s="46" t="s">
        <v>12</v>
      </c>
    </row>
    <row r="5">
      <c r="A5" s="5" t="s">
        <v>13</v>
      </c>
      <c r="B5" s="5" t="s">
        <v>117</v>
      </c>
      <c r="C5" s="25">
        <f t="shared" si="1"/>
        <v>6</v>
      </c>
      <c r="D5" s="17">
        <f t="shared" si="2"/>
        <v>0.2857142857</v>
      </c>
      <c r="E5" s="77">
        <v>1.623678186E9</v>
      </c>
      <c r="F5" s="68">
        <f>IFERROR(__xludf.DUMMYFUNCTION("INDEX(SPLIT(E5, char(10)), 0, 1)/86400+date(1970,1,1)"),44361.571597222224)</f>
        <v>44361.5716</v>
      </c>
      <c r="G5" s="46" t="s">
        <v>1805</v>
      </c>
      <c r="H5" s="46" t="s">
        <v>1806</v>
      </c>
      <c r="I5" s="46" t="s">
        <v>14</v>
      </c>
    </row>
    <row r="6">
      <c r="A6" s="5" t="s">
        <v>14</v>
      </c>
      <c r="B6" s="5" t="s">
        <v>120</v>
      </c>
      <c r="C6" s="25">
        <f t="shared" si="1"/>
        <v>5</v>
      </c>
      <c r="D6" s="17">
        <f t="shared" si="2"/>
        <v>0.2380952381</v>
      </c>
      <c r="E6" s="77">
        <v>1.623678318E9</v>
      </c>
      <c r="F6" s="68">
        <f>IFERROR(__xludf.DUMMYFUNCTION("INDEX(SPLIT(E6, char(10)), 0, 1)/86400+date(1970,1,1)"),44361.573124999995)</f>
        <v>44361.57313</v>
      </c>
      <c r="G6" s="46" t="s">
        <v>1807</v>
      </c>
      <c r="H6" s="46" t="s">
        <v>1808</v>
      </c>
      <c r="I6" s="46" t="s">
        <v>12</v>
      </c>
    </row>
    <row r="7">
      <c r="A7" s="5"/>
      <c r="B7" s="5" t="s">
        <v>10</v>
      </c>
      <c r="C7" s="23">
        <f t="shared" ref="C7:D7" si="3">SUM(C2:C6)</f>
        <v>21</v>
      </c>
      <c r="D7" s="70">
        <f t="shared" si="3"/>
        <v>1</v>
      </c>
      <c r="E7" s="77">
        <v>1.623678464E9</v>
      </c>
      <c r="F7" s="68">
        <f>IFERROR(__xludf.DUMMYFUNCTION("INDEX(SPLIT(E7, char(10)), 0, 1)/86400+date(1970,1,1)"),44361.57481481481)</f>
        <v>44361.57481</v>
      </c>
      <c r="G7" s="46" t="s">
        <v>1809</v>
      </c>
      <c r="H7" s="46" t="s">
        <v>1810</v>
      </c>
      <c r="I7" s="46" t="s">
        <v>14</v>
      </c>
    </row>
    <row r="8">
      <c r="A8" s="71"/>
      <c r="B8" s="5" t="s">
        <v>15</v>
      </c>
      <c r="C8" s="25">
        <f t="shared" ref="C8:D8" si="4">SUM(C5:C6)</f>
        <v>11</v>
      </c>
      <c r="D8" s="17">
        <f t="shared" si="4"/>
        <v>0.5238095238</v>
      </c>
      <c r="E8" s="77">
        <v>1.623679348E9</v>
      </c>
      <c r="F8" s="68">
        <f>IFERROR(__xludf.DUMMYFUNCTION("INDEX(SPLIT(E8, char(10)), 0, 1)/86400+date(1970,1,1)"),44361.5850462963)</f>
        <v>44361.58505</v>
      </c>
      <c r="G8" s="46" t="s">
        <v>1811</v>
      </c>
      <c r="H8" s="46" t="s">
        <v>1812</v>
      </c>
      <c r="I8" s="46" t="s">
        <v>13</v>
      </c>
    </row>
    <row r="9">
      <c r="A9" s="71"/>
      <c r="B9" s="5" t="s">
        <v>127</v>
      </c>
      <c r="C9" s="25">
        <f>SUM(C6:C7)</f>
        <v>26</v>
      </c>
      <c r="D9" s="17">
        <f>SUM(D5:D6) + D2</f>
        <v>0.6666666667</v>
      </c>
      <c r="E9" s="77">
        <v>1.623679558E9</v>
      </c>
      <c r="F9" s="68">
        <f>IFERROR(__xludf.DUMMYFUNCTION("INDEX(SPLIT(E9, char(10)), 0, 1)/86400+date(1970,1,1)"),44361.587476851855)</f>
        <v>44361.58748</v>
      </c>
      <c r="G9" s="46" t="s">
        <v>1813</v>
      </c>
      <c r="H9" s="46" t="s">
        <v>1814</v>
      </c>
      <c r="I9" s="46" t="s">
        <v>14</v>
      </c>
    </row>
    <row r="10">
      <c r="A10" s="71"/>
      <c r="B10" s="71"/>
      <c r="C10" s="71"/>
      <c r="D10" s="71"/>
      <c r="E10" s="77">
        <v>1.623679819E9</v>
      </c>
      <c r="F10" s="68">
        <f>IFERROR(__xludf.DUMMYFUNCTION("INDEX(SPLIT(E10, char(10)), 0, 1)/86400+date(1970,1,1)"),44361.59049768519)</f>
        <v>44361.5905</v>
      </c>
      <c r="G10" s="46" t="s">
        <v>1815</v>
      </c>
      <c r="H10" s="46" t="s">
        <v>1816</v>
      </c>
      <c r="I10" s="46" t="s">
        <v>13</v>
      </c>
    </row>
    <row r="11">
      <c r="A11" s="71"/>
      <c r="B11" s="71"/>
      <c r="C11" s="71"/>
      <c r="D11" s="71"/>
      <c r="E11" s="77">
        <v>1.623679922E9</v>
      </c>
      <c r="F11" s="68">
        <f>IFERROR(__xludf.DUMMYFUNCTION("INDEX(SPLIT(E11, char(10)), 0, 1)/86400+date(1970,1,1)"),44361.59168981481)</f>
        <v>44361.59169</v>
      </c>
      <c r="G11" s="46" t="s">
        <v>1817</v>
      </c>
      <c r="H11" s="46" t="s">
        <v>1818</v>
      </c>
      <c r="I11" s="46" t="s">
        <v>14</v>
      </c>
    </row>
    <row r="12">
      <c r="A12" s="13" t="s">
        <v>134</v>
      </c>
      <c r="B12" s="102" t="s">
        <v>1819</v>
      </c>
      <c r="C12" s="71"/>
      <c r="D12" s="71"/>
      <c r="E12" s="77">
        <v>1.623680176E9</v>
      </c>
      <c r="F12" s="68">
        <f>IFERROR(__xludf.DUMMYFUNCTION("INDEX(SPLIT(E12, char(10)), 0, 1)/86400+date(1970,1,1)"),44361.59462962963)</f>
        <v>44361.59463</v>
      </c>
      <c r="G12" s="46" t="s">
        <v>1820</v>
      </c>
      <c r="H12" s="46" t="s">
        <v>1821</v>
      </c>
      <c r="I12" s="46" t="s">
        <v>93</v>
      </c>
    </row>
    <row r="13">
      <c r="A13" s="13" t="s">
        <v>138</v>
      </c>
      <c r="B13" s="71"/>
      <c r="C13" s="13" t="s">
        <v>101</v>
      </c>
      <c r="D13" s="13" t="s">
        <v>102</v>
      </c>
      <c r="E13" s="77">
        <v>1.623680389E9</v>
      </c>
      <c r="F13" s="68">
        <f>IFERROR(__xludf.DUMMYFUNCTION("INDEX(SPLIT(E13, char(10)), 0, 1)/86400+date(1970,1,1)"),44361.59709490741)</f>
        <v>44361.59709</v>
      </c>
      <c r="G13" s="46" t="s">
        <v>1822</v>
      </c>
      <c r="H13" s="46" t="s">
        <v>1823</v>
      </c>
      <c r="I13" s="46" t="s">
        <v>93</v>
      </c>
    </row>
    <row r="14">
      <c r="A14" s="5" t="s">
        <v>141</v>
      </c>
      <c r="B14" s="5" t="s">
        <v>142</v>
      </c>
      <c r="C14" s="23">
        <f t="shared" ref="C14:C17" si="5">COUNTIF($A$19:$A1000, A14)</f>
        <v>2</v>
      </c>
      <c r="D14" s="17">
        <f>IFERROR(__xludf.DUMMYFUNCTION("IF(C14, COUNTIF(FILTER($D$19:$D1000, $A$19:$A1000=A14), TRUE)/C14, 0)"),0.5)</f>
        <v>0.5</v>
      </c>
      <c r="E14" s="77">
        <v>1.62368053E9</v>
      </c>
      <c r="F14" s="68">
        <f>IFERROR(__xludf.DUMMYFUNCTION("INDEX(SPLIT(E14, char(10)), 0, 1)/86400+date(1970,1,1)"),44361.59872685185)</f>
        <v>44361.59873</v>
      </c>
      <c r="G14" s="46" t="s">
        <v>1824</v>
      </c>
      <c r="H14" s="46" t="s">
        <v>1825</v>
      </c>
      <c r="I14" s="46" t="s">
        <v>11</v>
      </c>
    </row>
    <row r="15">
      <c r="A15" s="5" t="s">
        <v>3</v>
      </c>
      <c r="B15" s="5" t="s">
        <v>145</v>
      </c>
      <c r="C15" s="23">
        <f t="shared" si="5"/>
        <v>0</v>
      </c>
      <c r="D15" s="17">
        <f>IFERROR(__xludf.DUMMYFUNCTION("IF(C15, COUNTIF(FILTER($D$19:$D1000, $A$19:$A1000=A15), TRUE)/C15, 0)"),0.0)</f>
        <v>0</v>
      </c>
      <c r="E15" s="77">
        <v>1.623680621E9</v>
      </c>
      <c r="F15" s="68">
        <f>IFERROR(__xludf.DUMMYFUNCTION("INDEX(SPLIT(E15, char(10)), 0, 1)/86400+date(1970,1,1)"),44361.5997800926)</f>
        <v>44361.59978</v>
      </c>
      <c r="G15" s="46" t="s">
        <v>1826</v>
      </c>
      <c r="H15" s="46" t="s">
        <v>1827</v>
      </c>
      <c r="I15" s="46" t="s">
        <v>13</v>
      </c>
    </row>
    <row r="16">
      <c r="A16" s="5" t="s">
        <v>4</v>
      </c>
      <c r="B16" s="5" t="s">
        <v>148</v>
      </c>
      <c r="C16" s="23">
        <f t="shared" si="5"/>
        <v>4</v>
      </c>
      <c r="D16" s="17">
        <f>IFERROR(__xludf.DUMMYFUNCTION("IF(C16, COUNTIF(FILTER($D$19:$D1000, $A$19:$A1000=A16), TRUE)/C16, 0)"),0.25)</f>
        <v>0.25</v>
      </c>
      <c r="E16" s="77">
        <v>1.623680716E9</v>
      </c>
      <c r="F16" s="68">
        <f>IFERROR(__xludf.DUMMYFUNCTION("INDEX(SPLIT(E16, char(10)), 0, 1)/86400+date(1970,1,1)"),44361.60087962963)</f>
        <v>44361.60088</v>
      </c>
      <c r="G16" s="46" t="s">
        <v>1828</v>
      </c>
      <c r="H16" s="46" t="s">
        <v>1829</v>
      </c>
      <c r="I16" s="46" t="s">
        <v>12</v>
      </c>
    </row>
    <row r="17">
      <c r="A17" s="5" t="s">
        <v>5</v>
      </c>
      <c r="B17" s="5" t="s">
        <v>151</v>
      </c>
      <c r="C17" s="23">
        <f t="shared" si="5"/>
        <v>10</v>
      </c>
      <c r="D17" s="17">
        <f>IFERROR(__xludf.DUMMYFUNCTION("IF(C17, COUNTIF(FILTER($D$19:$D1000, $A$19:$A1000=A17), TRUE)/C17, 0)"),0.5)</f>
        <v>0.5</v>
      </c>
      <c r="E17" s="77">
        <v>1.623680961E9</v>
      </c>
      <c r="F17" s="68">
        <f>IFERROR(__xludf.DUMMYFUNCTION("INDEX(SPLIT(E17, char(10)), 0, 1)/86400+date(1970,1,1)"),44361.60371527778)</f>
        <v>44361.60372</v>
      </c>
      <c r="G17" s="46" t="s">
        <v>1830</v>
      </c>
      <c r="H17" s="46" t="s">
        <v>1831</v>
      </c>
      <c r="I17" s="46" t="s">
        <v>13</v>
      </c>
    </row>
    <row r="18">
      <c r="A18" s="71"/>
      <c r="B18" s="13" t="s">
        <v>6</v>
      </c>
      <c r="C18" s="23">
        <f>SUM(C14:C17)</f>
        <v>16</v>
      </c>
      <c r="D18" s="17">
        <f>COUNTIF($D$19:$D1000, TRUE)/SUM($C$14:$C$17)</f>
        <v>0.4375</v>
      </c>
      <c r="E18" s="77">
        <v>1.623681258E9</v>
      </c>
      <c r="F18" s="68">
        <f>IFERROR(__xludf.DUMMYFUNCTION("INDEX(SPLIT(E18, char(10)), 0, 1)/86400+date(1970,1,1)"),44361.60715277778)</f>
        <v>44361.60715</v>
      </c>
      <c r="G18" s="46" t="s">
        <v>1832</v>
      </c>
      <c r="H18" s="46" t="s">
        <v>1833</v>
      </c>
      <c r="I18" s="46" t="s">
        <v>11</v>
      </c>
    </row>
    <row r="19">
      <c r="A19" s="13" t="s">
        <v>107</v>
      </c>
      <c r="B19" s="13" t="s">
        <v>156</v>
      </c>
      <c r="C19" s="13" t="s">
        <v>157</v>
      </c>
      <c r="D19" s="13" t="s">
        <v>158</v>
      </c>
      <c r="E19" s="77">
        <v>1.623681379E9</v>
      </c>
      <c r="F19" s="68">
        <f>IFERROR(__xludf.DUMMYFUNCTION("INDEX(SPLIT(E19, char(10)), 0, 1)/86400+date(1970,1,1)"),44361.608553240745)</f>
        <v>44361.60855</v>
      </c>
      <c r="G19" s="46" t="s">
        <v>1834</v>
      </c>
      <c r="H19" s="46" t="s">
        <v>1835</v>
      </c>
      <c r="I19" s="46" t="s">
        <v>13</v>
      </c>
    </row>
    <row r="20">
      <c r="A20" s="5" t="s">
        <v>4</v>
      </c>
      <c r="B20" s="5" t="s">
        <v>161</v>
      </c>
      <c r="C20" s="25">
        <v>1.0</v>
      </c>
      <c r="D20" s="79" t="b">
        <v>0</v>
      </c>
      <c r="E20" s="77">
        <v>1.623681597E9</v>
      </c>
      <c r="F20" s="68">
        <f>IFERROR(__xludf.DUMMYFUNCTION("INDEX(SPLIT(E20, char(10)), 0, 1)/86400+date(1970,1,1)"),44361.61107638889)</f>
        <v>44361.61108</v>
      </c>
      <c r="G20" s="46" t="s">
        <v>1836</v>
      </c>
      <c r="H20" s="46" t="s">
        <v>1837</v>
      </c>
      <c r="I20" s="46" t="s">
        <v>14</v>
      </c>
    </row>
    <row r="21">
      <c r="A21" s="5" t="s">
        <v>141</v>
      </c>
      <c r="B21" s="5" t="s">
        <v>1733</v>
      </c>
      <c r="C21" s="25">
        <v>42.0</v>
      </c>
      <c r="D21" s="79" t="b">
        <v>0</v>
      </c>
      <c r="E21" s="77">
        <v>1.62368198E9</v>
      </c>
      <c r="F21" s="68">
        <f>IFERROR(__xludf.DUMMYFUNCTION("INDEX(SPLIT(E21, char(10)), 0, 1)/86400+date(1970,1,1)"),44361.61550925926)</f>
        <v>44361.61551</v>
      </c>
      <c r="G21" s="46" t="s">
        <v>1838</v>
      </c>
      <c r="H21" s="46" t="s">
        <v>1839</v>
      </c>
      <c r="I21" s="46" t="s">
        <v>93</v>
      </c>
    </row>
    <row r="22">
      <c r="A22" s="5" t="s">
        <v>4</v>
      </c>
      <c r="B22" s="5" t="s">
        <v>167</v>
      </c>
      <c r="C22" s="25">
        <v>45.0</v>
      </c>
      <c r="D22" s="79" t="b">
        <v>0</v>
      </c>
      <c r="E22" s="77">
        <v>1.623682385E9</v>
      </c>
      <c r="F22" s="68">
        <f>IFERROR(__xludf.DUMMYFUNCTION("INDEX(SPLIT(E22, char(10)), 0, 1)/86400+date(1970,1,1)"),44361.620196759264)</f>
        <v>44361.6202</v>
      </c>
      <c r="G22" s="46" t="s">
        <v>1840</v>
      </c>
      <c r="H22" s="46" t="s">
        <v>1841</v>
      </c>
      <c r="I22" s="46" t="s">
        <v>13</v>
      </c>
    </row>
    <row r="23">
      <c r="A23" s="5" t="s">
        <v>4</v>
      </c>
      <c r="B23" s="5" t="s">
        <v>170</v>
      </c>
      <c r="C23" s="25">
        <v>46.0</v>
      </c>
      <c r="D23" s="79" t="b">
        <v>0</v>
      </c>
      <c r="E23" s="77"/>
      <c r="F23" s="68"/>
      <c r="G23" s="46"/>
      <c r="H23" s="46"/>
      <c r="I23" s="7"/>
    </row>
    <row r="24">
      <c r="A24" s="5" t="s">
        <v>5</v>
      </c>
      <c r="B24" s="5" t="s">
        <v>1740</v>
      </c>
      <c r="C24" s="25">
        <v>46.0</v>
      </c>
      <c r="D24" s="79" t="b">
        <v>1</v>
      </c>
      <c r="E24" s="77"/>
      <c r="F24" s="68"/>
      <c r="G24" s="46"/>
      <c r="H24" s="46"/>
      <c r="I24" s="7"/>
    </row>
    <row r="25">
      <c r="A25" s="5" t="s">
        <v>141</v>
      </c>
      <c r="B25" s="71" t="s">
        <v>1733</v>
      </c>
      <c r="C25" s="25">
        <v>52.0</v>
      </c>
      <c r="D25" s="79" t="b">
        <v>1</v>
      </c>
      <c r="E25" s="67"/>
      <c r="F25" s="68"/>
      <c r="G25" s="7"/>
      <c r="H25" s="46"/>
      <c r="I25" s="7"/>
    </row>
    <row r="26">
      <c r="A26" s="5" t="s">
        <v>5</v>
      </c>
      <c r="B26" s="71" t="s">
        <v>1745</v>
      </c>
      <c r="C26" s="25">
        <v>67.0</v>
      </c>
      <c r="D26" s="79" t="b">
        <v>0</v>
      </c>
      <c r="E26" s="25"/>
      <c r="F26" s="68"/>
      <c r="G26" s="5"/>
      <c r="H26" s="46"/>
      <c r="I26" s="5"/>
    </row>
    <row r="27">
      <c r="A27" s="5" t="s">
        <v>5</v>
      </c>
      <c r="B27" s="71" t="s">
        <v>1748</v>
      </c>
      <c r="C27" s="25">
        <v>67.0</v>
      </c>
      <c r="D27" s="79" t="b">
        <v>1</v>
      </c>
      <c r="E27" s="25"/>
      <c r="F27" s="68"/>
      <c r="G27" s="5"/>
      <c r="H27" s="46"/>
      <c r="I27" s="5"/>
    </row>
    <row r="28">
      <c r="A28" s="5" t="s">
        <v>5</v>
      </c>
      <c r="B28" s="103" t="s">
        <v>1751</v>
      </c>
      <c r="C28" s="25">
        <v>67.0</v>
      </c>
      <c r="D28" s="79" t="b">
        <v>1</v>
      </c>
      <c r="E28" s="25"/>
      <c r="F28" s="68"/>
      <c r="G28" s="5"/>
      <c r="H28" s="46"/>
      <c r="I28" s="5"/>
    </row>
    <row r="29">
      <c r="A29" s="5" t="s">
        <v>5</v>
      </c>
      <c r="B29" s="71" t="s">
        <v>1754</v>
      </c>
      <c r="C29" s="25">
        <v>72.0</v>
      </c>
      <c r="D29" s="79" t="b">
        <v>1</v>
      </c>
      <c r="E29" s="75"/>
      <c r="F29" s="68"/>
      <c r="G29" s="5"/>
      <c r="H29" s="46"/>
      <c r="I29" s="5"/>
    </row>
    <row r="30">
      <c r="A30" s="5" t="s">
        <v>5</v>
      </c>
      <c r="B30" s="71" t="s">
        <v>1757</v>
      </c>
      <c r="C30" s="25">
        <v>72.0</v>
      </c>
      <c r="D30" s="79" t="b">
        <v>0</v>
      </c>
      <c r="E30" s="68"/>
      <c r="F30" s="68"/>
      <c r="G30" s="5"/>
      <c r="H30" s="46"/>
      <c r="I30" s="5"/>
    </row>
    <row r="31">
      <c r="A31" s="5" t="s">
        <v>5</v>
      </c>
      <c r="B31" s="71" t="s">
        <v>1760</v>
      </c>
      <c r="C31" s="25">
        <v>79.0</v>
      </c>
      <c r="D31" s="79" t="b">
        <v>1</v>
      </c>
      <c r="E31" s="75"/>
      <c r="F31" s="68"/>
      <c r="G31" s="5"/>
      <c r="H31" s="46"/>
      <c r="I31" s="5"/>
    </row>
    <row r="32">
      <c r="A32" s="5" t="s">
        <v>5</v>
      </c>
      <c r="B32" s="71" t="s">
        <v>1763</v>
      </c>
      <c r="C32" s="25">
        <v>79.0</v>
      </c>
      <c r="D32" s="79" t="b">
        <v>0</v>
      </c>
      <c r="E32" s="75"/>
      <c r="F32" s="68"/>
      <c r="G32" s="5"/>
      <c r="H32" s="46"/>
      <c r="I32" s="5"/>
    </row>
    <row r="33">
      <c r="A33" s="5" t="s">
        <v>5</v>
      </c>
      <c r="B33" s="71" t="s">
        <v>1766</v>
      </c>
      <c r="C33" s="25">
        <v>87.0</v>
      </c>
      <c r="D33" s="79" t="b">
        <v>0</v>
      </c>
      <c r="E33" s="75"/>
      <c r="F33" s="68"/>
      <c r="G33" s="5"/>
      <c r="H33" s="46"/>
      <c r="I33" s="5"/>
    </row>
    <row r="34">
      <c r="A34" s="5" t="s">
        <v>5</v>
      </c>
      <c r="B34" s="71" t="s">
        <v>1769</v>
      </c>
      <c r="C34" s="25">
        <v>87.0</v>
      </c>
      <c r="D34" s="79" t="b">
        <v>0</v>
      </c>
      <c r="E34" s="71"/>
      <c r="F34" s="76"/>
      <c r="G34" s="5"/>
      <c r="H34" s="46"/>
      <c r="I34" s="5"/>
    </row>
    <row r="35">
      <c r="A35" s="5" t="s">
        <v>4</v>
      </c>
      <c r="B35" s="71" t="s">
        <v>195</v>
      </c>
      <c r="C35" s="25">
        <v>90.0</v>
      </c>
      <c r="D35" s="79" t="b">
        <v>1</v>
      </c>
      <c r="E35" s="71"/>
      <c r="F35" s="76"/>
      <c r="G35" s="5"/>
      <c r="H35" s="46"/>
      <c r="I35" s="5"/>
    </row>
    <row r="36">
      <c r="B36" s="97"/>
      <c r="E36" s="97"/>
      <c r="F36" s="98"/>
      <c r="H36" s="46"/>
      <c r="I36" s="52"/>
    </row>
    <row r="37">
      <c r="E37" s="97"/>
      <c r="F37" s="98"/>
      <c r="H37" s="46"/>
      <c r="I37" s="52"/>
    </row>
    <row r="38">
      <c r="E38" s="97"/>
      <c r="F38" s="98"/>
      <c r="H38" s="46"/>
      <c r="I38" s="52"/>
    </row>
    <row r="39">
      <c r="E39" s="97"/>
      <c r="F39" s="98"/>
      <c r="H39" s="46"/>
      <c r="I39" s="52"/>
    </row>
    <row r="40">
      <c r="E40" s="97"/>
      <c r="F40" s="98"/>
      <c r="H40" s="46"/>
      <c r="I40" s="52"/>
    </row>
    <row r="41">
      <c r="E41" s="97"/>
      <c r="F41" s="98"/>
      <c r="H41" s="46"/>
      <c r="I41" s="52"/>
    </row>
    <row r="42">
      <c r="A42" s="46"/>
      <c r="B42" s="46"/>
      <c r="C42" s="77"/>
      <c r="D42" s="5"/>
      <c r="E42" s="97"/>
      <c r="F42" s="98"/>
      <c r="H42" s="46"/>
      <c r="I42" s="52"/>
    </row>
    <row r="43">
      <c r="A43" s="46"/>
      <c r="B43" s="46"/>
      <c r="C43" s="46"/>
      <c r="D43" s="5"/>
      <c r="F43" s="98"/>
      <c r="H43" s="46"/>
      <c r="I43" s="52"/>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2</v>
      </c>
      <c r="D2" s="17">
        <f t="shared" ref="D2:D6" si="2">C2/COUNTA(I$2:I1000)</f>
        <v>0.08333333333</v>
      </c>
      <c r="E2" s="77">
        <v>1.623676616E9</v>
      </c>
      <c r="F2" s="78">
        <v>44361.55342592593</v>
      </c>
      <c r="G2" s="46" t="s">
        <v>396</v>
      </c>
      <c r="H2" s="46" t="s">
        <v>1842</v>
      </c>
      <c r="I2" s="46" t="s">
        <v>14</v>
      </c>
    </row>
    <row r="3">
      <c r="A3" s="5" t="s">
        <v>11</v>
      </c>
      <c r="B3" s="5" t="s">
        <v>111</v>
      </c>
      <c r="C3" s="25">
        <f t="shared" si="1"/>
        <v>1</v>
      </c>
      <c r="D3" s="17">
        <f t="shared" si="2"/>
        <v>0.04166666667</v>
      </c>
      <c r="E3" s="77">
        <v>1.623676789E9</v>
      </c>
      <c r="F3" s="78">
        <v>44361.55542824074</v>
      </c>
      <c r="G3" s="46" t="s">
        <v>1843</v>
      </c>
      <c r="H3" s="46" t="s">
        <v>1844</v>
      </c>
      <c r="I3" s="46" t="s">
        <v>14</v>
      </c>
    </row>
    <row r="4">
      <c r="A4" s="5" t="s">
        <v>12</v>
      </c>
      <c r="B4" s="5" t="s">
        <v>114</v>
      </c>
      <c r="C4" s="25">
        <f t="shared" si="1"/>
        <v>4</v>
      </c>
      <c r="D4" s="17">
        <f t="shared" si="2"/>
        <v>0.1666666667</v>
      </c>
      <c r="E4" s="77">
        <v>1.62367697E9</v>
      </c>
      <c r="F4" s="78">
        <v>44361.55752314815</v>
      </c>
      <c r="G4" s="46" t="s">
        <v>955</v>
      </c>
      <c r="H4" s="46" t="s">
        <v>1845</v>
      </c>
      <c r="I4" s="46" t="s">
        <v>14</v>
      </c>
    </row>
    <row r="5">
      <c r="A5" s="5" t="s">
        <v>13</v>
      </c>
      <c r="B5" s="5" t="s">
        <v>117</v>
      </c>
      <c r="C5" s="25">
        <f t="shared" si="1"/>
        <v>7</v>
      </c>
      <c r="D5" s="17">
        <f t="shared" si="2"/>
        <v>0.2916666667</v>
      </c>
      <c r="E5" s="77">
        <v>1.623677587E9</v>
      </c>
      <c r="F5" s="78">
        <v>44361.56466435185</v>
      </c>
      <c r="G5" s="46" t="s">
        <v>396</v>
      </c>
      <c r="H5" s="46" t="s">
        <v>1846</v>
      </c>
      <c r="I5" s="46" t="s">
        <v>14</v>
      </c>
    </row>
    <row r="6">
      <c r="A6" s="5" t="s">
        <v>14</v>
      </c>
      <c r="B6" s="5" t="s">
        <v>120</v>
      </c>
      <c r="C6" s="25">
        <f t="shared" si="1"/>
        <v>10</v>
      </c>
      <c r="D6" s="17">
        <f t="shared" si="2"/>
        <v>0.4166666667</v>
      </c>
      <c r="E6" s="77">
        <v>1.623678144E9</v>
      </c>
      <c r="F6" s="78">
        <v>44361.57111111111</v>
      </c>
      <c r="G6" s="46" t="s">
        <v>1847</v>
      </c>
      <c r="H6" s="46" t="s">
        <v>1848</v>
      </c>
      <c r="I6" s="46" t="s">
        <v>13</v>
      </c>
    </row>
    <row r="7">
      <c r="A7" s="5"/>
      <c r="B7" s="5" t="s">
        <v>10</v>
      </c>
      <c r="C7" s="23">
        <f t="shared" ref="C7:D7" si="3">SUM(C2:C6)</f>
        <v>24</v>
      </c>
      <c r="D7" s="70">
        <f t="shared" si="3"/>
        <v>1</v>
      </c>
      <c r="E7" s="77">
        <v>1.623678248E9</v>
      </c>
      <c r="F7" s="78">
        <v>44361.57231481482</v>
      </c>
      <c r="G7" s="46" t="s">
        <v>1849</v>
      </c>
      <c r="H7" s="46" t="s">
        <v>1850</v>
      </c>
      <c r="I7" s="46" t="s">
        <v>93</v>
      </c>
    </row>
    <row r="8">
      <c r="A8" s="71"/>
      <c r="B8" s="5" t="s">
        <v>15</v>
      </c>
      <c r="C8" s="25">
        <f t="shared" ref="C8:D8" si="4">SUM(C5:C6)</f>
        <v>17</v>
      </c>
      <c r="D8" s="17">
        <f t="shared" si="4"/>
        <v>0.7083333333</v>
      </c>
      <c r="E8" s="77">
        <v>1.623678442E9</v>
      </c>
      <c r="F8" s="78">
        <v>44361.57456018519</v>
      </c>
      <c r="G8" s="46" t="s">
        <v>1851</v>
      </c>
      <c r="H8" s="46" t="s">
        <v>1852</v>
      </c>
      <c r="I8" s="46" t="s">
        <v>14</v>
      </c>
    </row>
    <row r="9">
      <c r="A9" s="71"/>
      <c r="B9" s="5" t="s">
        <v>127</v>
      </c>
      <c r="C9" s="25">
        <f>C2+C5+C6</f>
        <v>19</v>
      </c>
      <c r="D9" s="17">
        <f>SUM(D5:D6) + D2</f>
        <v>0.7916666667</v>
      </c>
      <c r="E9" s="77">
        <v>1.623678552E9</v>
      </c>
      <c r="F9" s="78">
        <v>44361.575833333336</v>
      </c>
      <c r="G9" s="46" t="s">
        <v>1853</v>
      </c>
      <c r="H9" s="46" t="s">
        <v>1854</v>
      </c>
      <c r="I9" s="46" t="s">
        <v>11</v>
      </c>
    </row>
    <row r="10">
      <c r="A10" s="71"/>
      <c r="B10" s="71"/>
      <c r="C10" s="71"/>
      <c r="D10" s="71"/>
      <c r="E10" s="77">
        <v>1.623678656E9</v>
      </c>
      <c r="F10" s="78">
        <v>44361.57703703704</v>
      </c>
      <c r="G10" s="46" t="s">
        <v>1855</v>
      </c>
      <c r="H10" s="46" t="s">
        <v>1856</v>
      </c>
      <c r="I10" s="46" t="s">
        <v>12</v>
      </c>
    </row>
    <row r="11">
      <c r="A11" s="71"/>
      <c r="B11" s="71"/>
      <c r="C11" s="71"/>
      <c r="D11" s="71"/>
      <c r="E11" s="77">
        <v>1.623679368E9</v>
      </c>
      <c r="F11" s="78">
        <v>44361.585277777776</v>
      </c>
      <c r="G11" s="46" t="s">
        <v>1857</v>
      </c>
      <c r="H11" s="46" t="s">
        <v>1858</v>
      </c>
      <c r="I11" s="46" t="s">
        <v>13</v>
      </c>
    </row>
    <row r="12">
      <c r="A12" s="13" t="s">
        <v>134</v>
      </c>
      <c r="B12" s="104" t="s">
        <v>1859</v>
      </c>
      <c r="C12" s="71"/>
      <c r="D12" s="71"/>
      <c r="E12" s="77">
        <v>1.623679565E9</v>
      </c>
      <c r="F12" s="78">
        <v>44361.58755787037</v>
      </c>
      <c r="G12" s="46" t="s">
        <v>1860</v>
      </c>
      <c r="H12" s="46" t="s">
        <v>1861</v>
      </c>
      <c r="I12" s="46" t="s">
        <v>14</v>
      </c>
    </row>
    <row r="13">
      <c r="A13" s="13" t="s">
        <v>138</v>
      </c>
      <c r="B13" s="71"/>
      <c r="C13" s="13" t="s">
        <v>101</v>
      </c>
      <c r="D13" s="13" t="s">
        <v>102</v>
      </c>
      <c r="E13" s="77">
        <v>1.623679682E9</v>
      </c>
      <c r="F13" s="78">
        <v>44361.588912037034</v>
      </c>
      <c r="G13" s="46" t="s">
        <v>396</v>
      </c>
      <c r="H13" s="46" t="s">
        <v>1862</v>
      </c>
      <c r="I13" s="46" t="s">
        <v>14</v>
      </c>
    </row>
    <row r="14">
      <c r="A14" s="5" t="s">
        <v>141</v>
      </c>
      <c r="B14" s="5" t="s">
        <v>142</v>
      </c>
      <c r="C14" s="23">
        <f t="shared" ref="C14:C17" si="5">COUNTIF($A$19:$A1000, A14)</f>
        <v>2</v>
      </c>
      <c r="D14" s="17">
        <f>IFERROR(__xludf.DUMMYFUNCTION("IF(C14, COUNTIF(FILTER($D$19:$D1000, $A$19:$A1000=A14), TRUE)/C14, 0)"),1.0)</f>
        <v>1</v>
      </c>
      <c r="E14" s="77">
        <v>1.623679792E9</v>
      </c>
      <c r="F14" s="78">
        <v>44361.59018518519</v>
      </c>
      <c r="G14" s="46" t="s">
        <v>1863</v>
      </c>
      <c r="H14" s="46" t="s">
        <v>1864</v>
      </c>
      <c r="I14" s="46" t="s">
        <v>13</v>
      </c>
    </row>
    <row r="15">
      <c r="A15" s="5" t="s">
        <v>3</v>
      </c>
      <c r="B15" s="5" t="s">
        <v>145</v>
      </c>
      <c r="C15" s="23">
        <f t="shared" si="5"/>
        <v>0</v>
      </c>
      <c r="D15" s="17">
        <f>IFERROR(__xludf.DUMMYFUNCTION("IF(C15, COUNTIF(FILTER($D$19:$D1000, $A$19:$A1000=A15), TRUE)/C15, 0)"),0.0)</f>
        <v>0</v>
      </c>
      <c r="E15" s="77">
        <v>1.623679893E9</v>
      </c>
      <c r="F15" s="78">
        <v>44361.59135416667</v>
      </c>
      <c r="G15" s="46" t="s">
        <v>1865</v>
      </c>
      <c r="H15" s="46" t="s">
        <v>1866</v>
      </c>
      <c r="I15" s="46" t="s">
        <v>93</v>
      </c>
    </row>
    <row r="16">
      <c r="A16" s="5" t="s">
        <v>4</v>
      </c>
      <c r="B16" s="5" t="s">
        <v>148</v>
      </c>
      <c r="C16" s="23">
        <f t="shared" si="5"/>
        <v>4</v>
      </c>
      <c r="D16" s="17">
        <f>IFERROR(__xludf.DUMMYFUNCTION("IF(C16, COUNTIF(FILTER($D$19:$D1000, $A$19:$A1000=A16), TRUE)/C16, 0)"),0.5)</f>
        <v>0.5</v>
      </c>
      <c r="E16" s="77">
        <v>1.623680004E9</v>
      </c>
      <c r="F16" s="78">
        <v>44361.59263888889</v>
      </c>
      <c r="G16" s="46" t="s">
        <v>1867</v>
      </c>
      <c r="H16" s="46" t="s">
        <v>1868</v>
      </c>
      <c r="I16" s="46" t="s">
        <v>12</v>
      </c>
    </row>
    <row r="17">
      <c r="A17" s="5" t="s">
        <v>5</v>
      </c>
      <c r="B17" s="5" t="s">
        <v>151</v>
      </c>
      <c r="C17" s="23">
        <f t="shared" si="5"/>
        <v>10</v>
      </c>
      <c r="D17" s="17">
        <f>IFERROR(__xludf.DUMMYFUNCTION("IF(C17, COUNTIF(FILTER($D$19:$D1000, $A$19:$A1000=A17), TRUE)/C17, 0)"),0.6)</f>
        <v>0.6</v>
      </c>
      <c r="E17" s="77">
        <v>1.623680134E9</v>
      </c>
      <c r="F17" s="78">
        <v>44361.594143518516</v>
      </c>
      <c r="G17" s="46" t="s">
        <v>1869</v>
      </c>
      <c r="H17" s="46" t="s">
        <v>1870</v>
      </c>
      <c r="I17" s="46" t="s">
        <v>12</v>
      </c>
    </row>
    <row r="18">
      <c r="A18" s="71"/>
      <c r="B18" s="13" t="s">
        <v>6</v>
      </c>
      <c r="C18" s="23">
        <f>SUM(C14:C17)</f>
        <v>16</v>
      </c>
      <c r="D18" s="17">
        <f>COUNTIF($D$19:$D1000, TRUE)/SUM($C$14:$C$17)</f>
        <v>0.625</v>
      </c>
      <c r="E18" s="77">
        <v>1.623680289E9</v>
      </c>
      <c r="F18" s="78">
        <v>44361.5959375</v>
      </c>
      <c r="G18" s="46" t="s">
        <v>1871</v>
      </c>
      <c r="H18" s="46" t="s">
        <v>1872</v>
      </c>
      <c r="I18" s="46" t="s">
        <v>14</v>
      </c>
    </row>
    <row r="19">
      <c r="A19" s="13" t="s">
        <v>107</v>
      </c>
      <c r="B19" s="13" t="s">
        <v>156</v>
      </c>
      <c r="C19" s="13" t="s">
        <v>157</v>
      </c>
      <c r="D19" s="13" t="s">
        <v>158</v>
      </c>
      <c r="E19" s="77">
        <v>1.623680447E9</v>
      </c>
      <c r="F19" s="78">
        <v>44361.597766203704</v>
      </c>
      <c r="G19" s="46" t="s">
        <v>1873</v>
      </c>
      <c r="H19" s="46" t="s">
        <v>1874</v>
      </c>
      <c r="I19" s="46" t="s">
        <v>14</v>
      </c>
    </row>
    <row r="20">
      <c r="A20" s="5" t="s">
        <v>4</v>
      </c>
      <c r="B20" s="5" t="s">
        <v>161</v>
      </c>
      <c r="C20" s="25">
        <v>1.0</v>
      </c>
      <c r="D20" s="96" t="b">
        <v>0</v>
      </c>
      <c r="E20" s="77">
        <v>1.623680617E9</v>
      </c>
      <c r="F20" s="78">
        <v>44361.5997337963</v>
      </c>
      <c r="G20" s="46" t="s">
        <v>1875</v>
      </c>
      <c r="H20" s="46" t="s">
        <v>1876</v>
      </c>
      <c r="I20" s="46" t="s">
        <v>14</v>
      </c>
    </row>
    <row r="21">
      <c r="A21" s="5" t="s">
        <v>141</v>
      </c>
      <c r="B21" s="5" t="s">
        <v>1733</v>
      </c>
      <c r="C21" s="25">
        <v>42.0</v>
      </c>
      <c r="D21" s="96" t="b">
        <v>1</v>
      </c>
      <c r="E21" s="77">
        <v>1.623680786E9</v>
      </c>
      <c r="F21" s="78">
        <v>44361.601689814815</v>
      </c>
      <c r="G21" s="46" t="s">
        <v>1877</v>
      </c>
      <c r="H21" s="46" t="s">
        <v>1878</v>
      </c>
      <c r="I21" s="46" t="s">
        <v>13</v>
      </c>
    </row>
    <row r="22">
      <c r="A22" s="5" t="s">
        <v>4</v>
      </c>
      <c r="B22" s="5" t="s">
        <v>167</v>
      </c>
      <c r="C22" s="25">
        <v>45.0</v>
      </c>
      <c r="D22" s="96" t="b">
        <v>0</v>
      </c>
      <c r="E22" s="77">
        <v>1.623680884E9</v>
      </c>
      <c r="F22" s="78">
        <v>44361.60282407407</v>
      </c>
      <c r="G22" s="46" t="s">
        <v>1879</v>
      </c>
      <c r="H22" s="46" t="s">
        <v>1880</v>
      </c>
      <c r="I22" s="46" t="s">
        <v>13</v>
      </c>
    </row>
    <row r="23">
      <c r="A23" s="5" t="s">
        <v>4</v>
      </c>
      <c r="B23" s="5" t="s">
        <v>170</v>
      </c>
      <c r="C23" s="25">
        <v>46.0</v>
      </c>
      <c r="D23" s="96" t="b">
        <v>1</v>
      </c>
      <c r="E23" s="77">
        <v>1.623681428E9</v>
      </c>
      <c r="F23" s="78">
        <v>44361.60912037037</v>
      </c>
      <c r="G23" s="46" t="s">
        <v>1881</v>
      </c>
      <c r="H23" s="46" t="s">
        <v>1882</v>
      </c>
      <c r="I23" s="46" t="s">
        <v>13</v>
      </c>
    </row>
    <row r="24">
      <c r="A24" s="5" t="s">
        <v>5</v>
      </c>
      <c r="B24" s="5" t="s">
        <v>1740</v>
      </c>
      <c r="C24" s="25">
        <v>46.0</v>
      </c>
      <c r="D24" s="96" t="b">
        <v>1</v>
      </c>
      <c r="E24" s="77">
        <v>1.62368207E9</v>
      </c>
      <c r="F24" s="78">
        <v>44361.61655092592</v>
      </c>
      <c r="G24" s="46" t="s">
        <v>1883</v>
      </c>
      <c r="H24" s="46" t="s">
        <v>1884</v>
      </c>
      <c r="I24" s="46" t="s">
        <v>12</v>
      </c>
    </row>
    <row r="25">
      <c r="A25" s="5" t="s">
        <v>141</v>
      </c>
      <c r="B25" s="71" t="s">
        <v>1733</v>
      </c>
      <c r="C25" s="25">
        <v>52.0</v>
      </c>
      <c r="D25" s="96" t="b">
        <v>1</v>
      </c>
      <c r="E25" s="77">
        <v>1.623682353E9</v>
      </c>
      <c r="F25" s="78">
        <v>44361.61982638889</v>
      </c>
      <c r="G25" s="46" t="s">
        <v>1885</v>
      </c>
      <c r="H25" s="46" t="s">
        <v>1886</v>
      </c>
      <c r="I25" s="46" t="s">
        <v>13</v>
      </c>
    </row>
    <row r="26">
      <c r="A26" s="5" t="s">
        <v>5</v>
      </c>
      <c r="B26" s="71" t="s">
        <v>1745</v>
      </c>
      <c r="C26" s="25">
        <v>67.0</v>
      </c>
      <c r="D26" s="96" t="b">
        <v>0</v>
      </c>
      <c r="E26" s="5"/>
      <c r="F26" s="76"/>
      <c r="G26" s="5"/>
      <c r="H26" s="5"/>
      <c r="I26" s="5"/>
    </row>
    <row r="27">
      <c r="A27" s="5" t="s">
        <v>5</v>
      </c>
      <c r="B27" s="71" t="s">
        <v>1748</v>
      </c>
      <c r="C27" s="25">
        <v>67.0</v>
      </c>
      <c r="D27" s="96" t="b">
        <v>1</v>
      </c>
      <c r="E27" s="5"/>
      <c r="F27" s="76"/>
      <c r="G27" s="5"/>
      <c r="H27" s="5"/>
      <c r="I27" s="5"/>
    </row>
    <row r="28">
      <c r="A28" s="5" t="s">
        <v>5</v>
      </c>
      <c r="B28" s="103" t="s">
        <v>1751</v>
      </c>
      <c r="C28" s="25">
        <v>67.0</v>
      </c>
      <c r="D28" s="96" t="b">
        <v>1</v>
      </c>
      <c r="E28" s="5"/>
      <c r="F28" s="76"/>
      <c r="G28" s="5"/>
      <c r="H28" s="5"/>
      <c r="I28" s="5"/>
    </row>
    <row r="29">
      <c r="A29" s="5" t="s">
        <v>5</v>
      </c>
      <c r="B29" s="71" t="s">
        <v>1754</v>
      </c>
      <c r="C29" s="25">
        <v>72.0</v>
      </c>
      <c r="D29" s="96" t="b">
        <v>1</v>
      </c>
      <c r="E29" s="71"/>
      <c r="F29" s="76"/>
      <c r="G29" s="5"/>
      <c r="H29" s="5"/>
      <c r="I29" s="5"/>
    </row>
    <row r="30">
      <c r="A30" s="5" t="s">
        <v>5</v>
      </c>
      <c r="B30" s="71" t="s">
        <v>1757</v>
      </c>
      <c r="C30" s="25">
        <v>72.0</v>
      </c>
      <c r="D30" s="96" t="b">
        <v>0</v>
      </c>
      <c r="E30" s="76"/>
      <c r="F30" s="76"/>
      <c r="G30" s="5"/>
      <c r="H30" s="5"/>
      <c r="I30" s="5"/>
    </row>
    <row r="31">
      <c r="A31" s="5" t="s">
        <v>5</v>
      </c>
      <c r="B31" s="71" t="s">
        <v>1760</v>
      </c>
      <c r="C31" s="25">
        <v>79.0</v>
      </c>
      <c r="D31" s="96" t="b">
        <v>1</v>
      </c>
      <c r="E31" s="71"/>
      <c r="F31" s="76"/>
      <c r="G31" s="5"/>
      <c r="H31" s="5"/>
      <c r="I31" s="5"/>
    </row>
    <row r="32">
      <c r="A32" s="5" t="s">
        <v>5</v>
      </c>
      <c r="B32" s="71" t="s">
        <v>1763</v>
      </c>
      <c r="C32" s="25">
        <v>79.0</v>
      </c>
      <c r="D32" s="96" t="b">
        <v>1</v>
      </c>
      <c r="E32" s="71"/>
      <c r="F32" s="76"/>
      <c r="G32" s="5"/>
      <c r="H32" s="5"/>
      <c r="I32" s="5"/>
    </row>
    <row r="33">
      <c r="A33" s="5" t="s">
        <v>5</v>
      </c>
      <c r="B33" s="71" t="s">
        <v>1766</v>
      </c>
      <c r="C33" s="25">
        <v>87.0</v>
      </c>
      <c r="D33" s="96" t="b">
        <v>0</v>
      </c>
      <c r="E33" s="71"/>
      <c r="F33" s="76"/>
      <c r="G33" s="5"/>
      <c r="H33" s="5"/>
      <c r="I33" s="5"/>
    </row>
    <row r="34">
      <c r="A34" s="5" t="s">
        <v>5</v>
      </c>
      <c r="B34" s="71" t="s">
        <v>1769</v>
      </c>
      <c r="C34" s="25">
        <v>87.0</v>
      </c>
      <c r="D34" s="96" t="b">
        <v>0</v>
      </c>
      <c r="E34" s="71"/>
      <c r="F34" s="76"/>
      <c r="G34" s="5"/>
      <c r="H34" s="5"/>
      <c r="I34" s="5"/>
    </row>
    <row r="35">
      <c r="A35" s="5" t="s">
        <v>4</v>
      </c>
      <c r="B35" s="71" t="s">
        <v>195</v>
      </c>
      <c r="C35" s="25">
        <v>90.0</v>
      </c>
      <c r="D35" s="96" t="b">
        <v>1</v>
      </c>
      <c r="E35" s="71"/>
      <c r="F35" s="76"/>
      <c r="G35" s="5"/>
      <c r="H35" s="5"/>
      <c r="I35" s="5"/>
    </row>
    <row r="36">
      <c r="B36" s="97"/>
      <c r="E36" s="97"/>
      <c r="F36" s="98"/>
      <c r="H36" s="5"/>
      <c r="I36" s="52"/>
    </row>
    <row r="37">
      <c r="B37" s="97"/>
      <c r="E37" s="97"/>
      <c r="F37" s="98"/>
      <c r="H37" s="5"/>
      <c r="I37" s="52"/>
    </row>
    <row r="38">
      <c r="B38" s="97"/>
      <c r="E38" s="97"/>
      <c r="F38" s="98"/>
      <c r="H38" s="5"/>
      <c r="I38" s="52"/>
    </row>
    <row r="39">
      <c r="B39" s="97"/>
      <c r="E39" s="97"/>
      <c r="F39" s="98"/>
      <c r="H39" s="5"/>
      <c r="I39" s="52"/>
    </row>
    <row r="40">
      <c r="B40" s="97"/>
      <c r="E40" s="97"/>
      <c r="F40" s="98"/>
      <c r="H40" s="5"/>
      <c r="I40" s="52"/>
    </row>
    <row r="41">
      <c r="B41" s="97"/>
      <c r="E41" s="97"/>
      <c r="F41" s="98"/>
      <c r="H41" s="5"/>
      <c r="I41" s="52"/>
    </row>
    <row r="42">
      <c r="A42" s="5"/>
      <c r="B42" s="71"/>
      <c r="C42" s="25"/>
      <c r="D42" s="5"/>
      <c r="E42" s="97"/>
      <c r="F42" s="98"/>
      <c r="H42" s="5"/>
      <c r="I42" s="52"/>
    </row>
    <row r="43">
      <c r="A43" s="5"/>
      <c r="B43" s="5"/>
      <c r="C43" s="5"/>
      <c r="D43" s="5"/>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3</v>
      </c>
      <c r="D2" s="17">
        <f t="shared" ref="D2:D6" si="2">C2/COUNTA(I$2:I1000)</f>
        <v>0.15</v>
      </c>
      <c r="E2" s="83">
        <v>1.623677757E9</v>
      </c>
      <c r="F2" s="68">
        <f>IFERROR(__xludf.DUMMYFUNCTION("INDEX(SPLIT(E2, char(10)), 0, 1)/86400+date(1970,1,1)"),44361.56663194444)</f>
        <v>44361.56663</v>
      </c>
      <c r="G2" s="86" t="s">
        <v>669</v>
      </c>
      <c r="H2" s="84" t="s">
        <v>1887</v>
      </c>
      <c r="I2" s="46" t="s">
        <v>12</v>
      </c>
    </row>
    <row r="3">
      <c r="A3" s="5" t="s">
        <v>11</v>
      </c>
      <c r="B3" s="5" t="s">
        <v>111</v>
      </c>
      <c r="C3" s="25">
        <f t="shared" si="1"/>
        <v>2</v>
      </c>
      <c r="D3" s="17">
        <f t="shared" si="2"/>
        <v>0.1</v>
      </c>
      <c r="E3" s="83">
        <v>1.623678165E9</v>
      </c>
      <c r="F3" s="68">
        <f>IFERROR(__xludf.DUMMYFUNCTION("INDEX(SPLIT(E3, char(10)), 0, 1)/86400+date(1970,1,1)"),44361.57135416666)</f>
        <v>44361.57135</v>
      </c>
      <c r="G3" s="86" t="s">
        <v>1888</v>
      </c>
      <c r="H3" s="84" t="s">
        <v>1889</v>
      </c>
      <c r="I3" s="46" t="s">
        <v>13</v>
      </c>
    </row>
    <row r="4">
      <c r="A4" s="5" t="s">
        <v>12</v>
      </c>
      <c r="B4" s="5" t="s">
        <v>114</v>
      </c>
      <c r="C4" s="25">
        <f t="shared" si="1"/>
        <v>3</v>
      </c>
      <c r="D4" s="17">
        <f t="shared" si="2"/>
        <v>0.15</v>
      </c>
      <c r="E4" s="83">
        <v>1.623678271E9</v>
      </c>
      <c r="F4" s="68">
        <f>IFERROR(__xludf.DUMMYFUNCTION("INDEX(SPLIT(E4, char(10)), 0, 1)/86400+date(1970,1,1)"),44361.57258101852)</f>
        <v>44361.57258</v>
      </c>
      <c r="G4" s="86" t="s">
        <v>1890</v>
      </c>
      <c r="H4" s="84" t="s">
        <v>1891</v>
      </c>
      <c r="I4" s="46" t="s">
        <v>12</v>
      </c>
    </row>
    <row r="5">
      <c r="A5" s="5" t="s">
        <v>13</v>
      </c>
      <c r="B5" s="5" t="s">
        <v>117</v>
      </c>
      <c r="C5" s="25">
        <f t="shared" si="1"/>
        <v>6</v>
      </c>
      <c r="D5" s="17">
        <f t="shared" si="2"/>
        <v>0.3</v>
      </c>
      <c r="E5" s="83">
        <v>1.6236784E9</v>
      </c>
      <c r="F5" s="68">
        <f>IFERROR(__xludf.DUMMYFUNCTION("INDEX(SPLIT(E5, char(10)), 0, 1)/86400+date(1970,1,1)"),44361.57407407407)</f>
        <v>44361.57407</v>
      </c>
      <c r="G5" s="86" t="s">
        <v>1892</v>
      </c>
      <c r="H5" s="84" t="s">
        <v>1893</v>
      </c>
      <c r="I5" s="46" t="s">
        <v>14</v>
      </c>
    </row>
    <row r="6">
      <c r="A6" s="5" t="s">
        <v>14</v>
      </c>
      <c r="B6" s="5" t="s">
        <v>120</v>
      </c>
      <c r="C6" s="25">
        <f t="shared" si="1"/>
        <v>6</v>
      </c>
      <c r="D6" s="17">
        <f t="shared" si="2"/>
        <v>0.3</v>
      </c>
      <c r="E6" s="83">
        <v>1.623678559E9</v>
      </c>
      <c r="F6" s="68">
        <f>IFERROR(__xludf.DUMMYFUNCTION("INDEX(SPLIT(E6, char(10)), 0, 1)/86400+date(1970,1,1)"),44361.57591435185)</f>
        <v>44361.57591</v>
      </c>
      <c r="G6" s="46" t="s">
        <v>1894</v>
      </c>
      <c r="H6" s="84" t="s">
        <v>1895</v>
      </c>
      <c r="I6" s="46" t="s">
        <v>13</v>
      </c>
    </row>
    <row r="7">
      <c r="A7" s="5"/>
      <c r="B7" s="5" t="s">
        <v>10</v>
      </c>
      <c r="C7" s="23">
        <f t="shared" ref="C7:D7" si="3">SUM(C2:C6)</f>
        <v>20</v>
      </c>
      <c r="D7" s="70">
        <f t="shared" si="3"/>
        <v>1</v>
      </c>
      <c r="E7" s="83">
        <v>1.623679351E9</v>
      </c>
      <c r="F7" s="68">
        <f>IFERROR(__xludf.DUMMYFUNCTION("INDEX(SPLIT(E7, char(10)), 0, 1)/86400+date(1970,1,1)"),44361.58508101852)</f>
        <v>44361.58508</v>
      </c>
      <c r="G7" s="46" t="s">
        <v>671</v>
      </c>
      <c r="H7" s="84" t="s">
        <v>1896</v>
      </c>
      <c r="I7" s="46" t="s">
        <v>13</v>
      </c>
    </row>
    <row r="8">
      <c r="A8" s="71"/>
      <c r="B8" s="5" t="s">
        <v>15</v>
      </c>
      <c r="C8" s="25">
        <f t="shared" ref="C8:D8" si="4">SUM(C5:C6)</f>
        <v>12</v>
      </c>
      <c r="D8" s="17">
        <f t="shared" si="4"/>
        <v>0.6</v>
      </c>
      <c r="E8" s="83">
        <v>1.623679598E9</v>
      </c>
      <c r="F8" s="68">
        <f>IFERROR(__xludf.DUMMYFUNCTION("INDEX(SPLIT(E8, char(10)), 0, 1)/86400+date(1970,1,1)"),44361.58793981481)</f>
        <v>44361.58794</v>
      </c>
      <c r="G8" s="86" t="s">
        <v>1897</v>
      </c>
      <c r="H8" s="84" t="s">
        <v>1898</v>
      </c>
      <c r="I8" s="46" t="s">
        <v>14</v>
      </c>
    </row>
    <row r="9">
      <c r="A9" s="71"/>
      <c r="B9" s="5" t="s">
        <v>127</v>
      </c>
      <c r="C9" s="25">
        <f>C2+C5+C6</f>
        <v>15</v>
      </c>
      <c r="D9" s="17">
        <f>SUM(D5:D6) + D2</f>
        <v>0.75</v>
      </c>
      <c r="E9" s="83">
        <v>1.623679821E9</v>
      </c>
      <c r="F9" s="68">
        <f>IFERROR(__xludf.DUMMYFUNCTION("INDEX(SPLIT(E9, char(10)), 0, 1)/86400+date(1970,1,1)"),44361.59052083333)</f>
        <v>44361.59052</v>
      </c>
      <c r="G9" s="86" t="s">
        <v>1899</v>
      </c>
      <c r="H9" s="84" t="s">
        <v>1900</v>
      </c>
      <c r="I9" s="46" t="s">
        <v>13</v>
      </c>
    </row>
    <row r="10">
      <c r="A10" s="71"/>
      <c r="B10" s="71"/>
      <c r="C10" s="71"/>
      <c r="D10" s="71"/>
      <c r="E10" s="83">
        <v>1.623680002E9</v>
      </c>
      <c r="F10" s="68">
        <f>IFERROR(__xludf.DUMMYFUNCTION("INDEX(SPLIT(E10, char(10)), 0, 1)/86400+date(1970,1,1)"),44361.59261574074)</f>
        <v>44361.59262</v>
      </c>
      <c r="G10" s="86" t="s">
        <v>1901</v>
      </c>
      <c r="H10" s="84" t="s">
        <v>1902</v>
      </c>
      <c r="I10" s="46" t="s">
        <v>93</v>
      </c>
    </row>
    <row r="11">
      <c r="A11" s="71"/>
      <c r="B11" s="71"/>
      <c r="C11" s="71"/>
      <c r="D11" s="71"/>
      <c r="E11" s="83">
        <v>1.623680113E9</v>
      </c>
      <c r="F11" s="68">
        <f>IFERROR(__xludf.DUMMYFUNCTION("INDEX(SPLIT(E11, char(10)), 0, 1)/86400+date(1970,1,1)"),44361.59390046296)</f>
        <v>44361.5939</v>
      </c>
      <c r="G11" s="86" t="s">
        <v>1903</v>
      </c>
      <c r="H11" s="84" t="s">
        <v>1904</v>
      </c>
      <c r="I11" s="46" t="s">
        <v>93</v>
      </c>
    </row>
    <row r="12">
      <c r="A12" s="13" t="s">
        <v>134</v>
      </c>
      <c r="B12" s="104" t="s">
        <v>1905</v>
      </c>
      <c r="C12" s="71"/>
      <c r="D12" s="71"/>
      <c r="E12" s="83">
        <v>1.623680363E9</v>
      </c>
      <c r="F12" s="68">
        <f>IFERROR(__xludf.DUMMYFUNCTION("INDEX(SPLIT(E12, char(10)), 0, 1)/86400+date(1970,1,1)"),44361.59679398148)</f>
        <v>44361.59679</v>
      </c>
      <c r="G12" s="84" t="s">
        <v>1906</v>
      </c>
      <c r="H12" s="84" t="s">
        <v>1907</v>
      </c>
      <c r="I12" s="46" t="s">
        <v>14</v>
      </c>
    </row>
    <row r="13">
      <c r="A13" s="13" t="s">
        <v>138</v>
      </c>
      <c r="B13" s="71"/>
      <c r="C13" s="13" t="s">
        <v>101</v>
      </c>
      <c r="D13" s="13" t="s">
        <v>102</v>
      </c>
      <c r="E13" s="83">
        <v>1.623680601E9</v>
      </c>
      <c r="F13" s="68">
        <f>IFERROR(__xludf.DUMMYFUNCTION("INDEX(SPLIT(E13, char(10)), 0, 1)/86400+date(1970,1,1)"),44361.599548611106)</f>
        <v>44361.59955</v>
      </c>
      <c r="G13" s="84" t="s">
        <v>1908</v>
      </c>
      <c r="H13" s="84" t="s">
        <v>1909</v>
      </c>
      <c r="I13" s="46" t="s">
        <v>14</v>
      </c>
    </row>
    <row r="14">
      <c r="A14" s="5" t="s">
        <v>141</v>
      </c>
      <c r="B14" s="5" t="s">
        <v>142</v>
      </c>
      <c r="C14" s="23">
        <f t="shared" ref="C14:C17" si="5">COUNTIF($A$19:$A1000, A14)</f>
        <v>2</v>
      </c>
      <c r="D14" s="17">
        <f>IFERROR(__xludf.DUMMYFUNCTION("IF(C14, COUNTIF(FILTER($D$19:$D1000, $A$19:$A1000=A14), TRUE)/C14, 0)"),1.0)</f>
        <v>1</v>
      </c>
      <c r="E14" s="83">
        <v>1.623680711E9</v>
      </c>
      <c r="F14" s="68">
        <f>IFERROR(__xludf.DUMMYFUNCTION("INDEX(SPLIT(E14, char(10)), 0, 1)/86400+date(1970,1,1)"),44361.60082175926)</f>
        <v>44361.60082</v>
      </c>
      <c r="G14" s="84" t="s">
        <v>1910</v>
      </c>
      <c r="H14" s="84" t="s">
        <v>1911</v>
      </c>
      <c r="I14" s="46" t="s">
        <v>13</v>
      </c>
    </row>
    <row r="15">
      <c r="A15" s="5" t="s">
        <v>3</v>
      </c>
      <c r="B15" s="5" t="s">
        <v>145</v>
      </c>
      <c r="C15" s="23">
        <f t="shared" si="5"/>
        <v>0</v>
      </c>
      <c r="D15" s="17">
        <f>IFERROR(__xludf.DUMMYFUNCTION("IF(C15, COUNTIF(FILTER($D$19:$D1000, $A$19:$A1000=A15), TRUE)/C15, 0)"),0.0)</f>
        <v>0</v>
      </c>
      <c r="E15" s="83">
        <v>1.62368081E9</v>
      </c>
      <c r="F15" s="68">
        <f>IFERROR(__xludf.DUMMYFUNCTION("INDEX(SPLIT(E15, char(10)), 0, 1)/86400+date(1970,1,1)"),44361.60196759259)</f>
        <v>44361.60197</v>
      </c>
      <c r="G15" s="84" t="s">
        <v>1912</v>
      </c>
      <c r="H15" s="84" t="s">
        <v>1913</v>
      </c>
      <c r="I15" s="46" t="s">
        <v>11</v>
      </c>
    </row>
    <row r="16">
      <c r="A16" s="5" t="s">
        <v>4</v>
      </c>
      <c r="B16" s="5" t="s">
        <v>148</v>
      </c>
      <c r="C16" s="23">
        <f t="shared" si="5"/>
        <v>4</v>
      </c>
      <c r="D16" s="17">
        <f>IFERROR(__xludf.DUMMYFUNCTION("IF(C16, COUNTIF(FILTER($D$19:$D1000, $A$19:$A1000=A16), TRUE)/C16, 0)"),0.25)</f>
        <v>0.25</v>
      </c>
      <c r="E16" s="83">
        <v>1.623681097E9</v>
      </c>
      <c r="F16" s="68">
        <f>IFERROR(__xludf.DUMMYFUNCTION("INDEX(SPLIT(E16, char(10)), 0, 1)/86400+date(1970,1,1)"),44361.60528935185)</f>
        <v>44361.60529</v>
      </c>
      <c r="G16" s="84" t="s">
        <v>1914</v>
      </c>
      <c r="H16" s="84" t="s">
        <v>1915</v>
      </c>
      <c r="I16" s="46" t="s">
        <v>14</v>
      </c>
    </row>
    <row r="17">
      <c r="A17" s="5" t="s">
        <v>5</v>
      </c>
      <c r="B17" s="5" t="s">
        <v>151</v>
      </c>
      <c r="C17" s="23">
        <f t="shared" si="5"/>
        <v>10</v>
      </c>
      <c r="D17" s="17">
        <f>IFERROR(__xludf.DUMMYFUNCTION("IF(C17, COUNTIF(FILTER($D$19:$D1000, $A$19:$A1000=A17), TRUE)/C17, 0)"),0.3)</f>
        <v>0.3</v>
      </c>
      <c r="E17" s="83">
        <v>1.623681233E9</v>
      </c>
      <c r="F17" s="68">
        <f>IFERROR(__xludf.DUMMYFUNCTION("INDEX(SPLIT(E17, char(10)), 0, 1)/86400+date(1970,1,1)"),44361.60686342593)</f>
        <v>44361.60686</v>
      </c>
      <c r="G17" s="84" t="s">
        <v>1916</v>
      </c>
      <c r="H17" s="84" t="s">
        <v>1917</v>
      </c>
      <c r="I17" s="46" t="s">
        <v>93</v>
      </c>
    </row>
    <row r="18">
      <c r="A18" s="71"/>
      <c r="B18" s="13" t="s">
        <v>6</v>
      </c>
      <c r="C18" s="23">
        <f>SUM(C14:C17)</f>
        <v>16</v>
      </c>
      <c r="D18" s="17">
        <f>COUNTIF($D$19:$D1000, TRUE)/SUM($C$14:$C$17)</f>
        <v>0.375</v>
      </c>
      <c r="E18" s="83">
        <v>1.62368148E9</v>
      </c>
      <c r="F18" s="68">
        <f>IFERROR(__xludf.DUMMYFUNCTION("INDEX(SPLIT(E18, char(10)), 0, 1)/86400+date(1970,1,1)"),44361.60972222222)</f>
        <v>44361.60972</v>
      </c>
      <c r="G18" s="84" t="s">
        <v>1918</v>
      </c>
      <c r="H18" s="84" t="s">
        <v>1919</v>
      </c>
      <c r="I18" s="46" t="s">
        <v>13</v>
      </c>
    </row>
    <row r="19">
      <c r="A19" s="13" t="s">
        <v>107</v>
      </c>
      <c r="B19" s="13" t="s">
        <v>156</v>
      </c>
      <c r="C19" s="13" t="s">
        <v>157</v>
      </c>
      <c r="D19" s="13" t="s">
        <v>158</v>
      </c>
      <c r="E19" s="83">
        <v>1.623681646E9</v>
      </c>
      <c r="F19" s="68">
        <f>IFERROR(__xludf.DUMMYFUNCTION("INDEX(SPLIT(E19, char(10)), 0, 1)/86400+date(1970,1,1)"),44361.61164351852)</f>
        <v>44361.61164</v>
      </c>
      <c r="G19" s="84" t="s">
        <v>1920</v>
      </c>
      <c r="H19" s="84" t="s">
        <v>1921</v>
      </c>
      <c r="I19" s="46" t="s">
        <v>12</v>
      </c>
    </row>
    <row r="20">
      <c r="A20" s="5" t="s">
        <v>4</v>
      </c>
      <c r="B20" s="5" t="s">
        <v>161</v>
      </c>
      <c r="C20" s="25">
        <v>1.0</v>
      </c>
      <c r="D20" s="79" t="b">
        <v>0</v>
      </c>
      <c r="E20" s="83">
        <v>1.623681779E9</v>
      </c>
      <c r="F20" s="68">
        <f>IFERROR(__xludf.DUMMYFUNCTION("INDEX(SPLIT(E20, char(10)), 0, 1)/86400+date(1970,1,1)"),44361.613182870366)</f>
        <v>44361.61318</v>
      </c>
      <c r="G20" s="84" t="s">
        <v>1922</v>
      </c>
      <c r="H20" s="84" t="s">
        <v>1923</v>
      </c>
      <c r="I20" s="46" t="s">
        <v>14</v>
      </c>
    </row>
    <row r="21">
      <c r="A21" s="5" t="s">
        <v>141</v>
      </c>
      <c r="B21" s="5" t="s">
        <v>1733</v>
      </c>
      <c r="C21" s="25">
        <v>42.0</v>
      </c>
      <c r="D21" s="79" t="b">
        <v>1</v>
      </c>
      <c r="E21" s="83">
        <v>1.623682083E9</v>
      </c>
      <c r="F21" s="68">
        <f>IFERROR(__xludf.DUMMYFUNCTION("INDEX(SPLIT(E21, char(10)), 0, 1)/86400+date(1970,1,1)"),44361.61670138889)</f>
        <v>44361.6167</v>
      </c>
      <c r="G21" s="84" t="s">
        <v>1924</v>
      </c>
      <c r="H21" s="84" t="s">
        <v>1925</v>
      </c>
      <c r="I21" s="46" t="s">
        <v>11</v>
      </c>
    </row>
    <row r="22">
      <c r="A22" s="5" t="s">
        <v>4</v>
      </c>
      <c r="B22" s="5" t="s">
        <v>167</v>
      </c>
      <c r="C22" s="25">
        <v>45.0</v>
      </c>
      <c r="D22" s="79" t="b">
        <v>1</v>
      </c>
      <c r="E22" s="83"/>
      <c r="F22" s="68"/>
      <c r="G22" s="84"/>
      <c r="H22" s="84"/>
      <c r="I22" s="5"/>
    </row>
    <row r="23">
      <c r="A23" s="5" t="s">
        <v>4</v>
      </c>
      <c r="B23" s="5" t="s">
        <v>170</v>
      </c>
      <c r="C23" s="25">
        <v>46.0</v>
      </c>
      <c r="D23" s="79" t="b">
        <v>0</v>
      </c>
      <c r="E23" s="25"/>
      <c r="F23" s="68"/>
      <c r="G23" s="5"/>
      <c r="H23" s="5"/>
      <c r="I23" s="5"/>
    </row>
    <row r="24">
      <c r="A24" s="5" t="s">
        <v>5</v>
      </c>
      <c r="B24" s="5" t="s">
        <v>1740</v>
      </c>
      <c r="C24" s="25">
        <v>46.0</v>
      </c>
      <c r="D24" s="79" t="b">
        <v>1</v>
      </c>
      <c r="E24" s="25"/>
      <c r="F24" s="68"/>
      <c r="G24" s="5"/>
      <c r="H24" s="5"/>
      <c r="I24" s="5"/>
    </row>
    <row r="25">
      <c r="A25" s="5" t="s">
        <v>141</v>
      </c>
      <c r="B25" s="71" t="s">
        <v>1733</v>
      </c>
      <c r="C25" s="25">
        <v>52.0</v>
      </c>
      <c r="D25" s="79" t="b">
        <v>1</v>
      </c>
      <c r="E25" s="25"/>
      <c r="F25" s="68"/>
      <c r="G25" s="5"/>
      <c r="H25" s="5"/>
      <c r="I25" s="5"/>
    </row>
    <row r="26">
      <c r="A26" s="5" t="s">
        <v>5</v>
      </c>
      <c r="B26" s="71" t="s">
        <v>1745</v>
      </c>
      <c r="C26" s="25">
        <v>67.0</v>
      </c>
      <c r="D26" s="79" t="b">
        <v>0</v>
      </c>
      <c r="E26" s="5"/>
      <c r="F26" s="76"/>
      <c r="G26" s="5"/>
      <c r="H26" s="5"/>
      <c r="I26" s="5"/>
    </row>
    <row r="27">
      <c r="A27" s="5" t="s">
        <v>5</v>
      </c>
      <c r="B27" s="71" t="s">
        <v>1748</v>
      </c>
      <c r="C27" s="25">
        <v>67.0</v>
      </c>
      <c r="D27" s="79" t="b">
        <v>1</v>
      </c>
      <c r="E27" s="5"/>
      <c r="F27" s="76"/>
      <c r="G27" s="5"/>
      <c r="H27" s="5"/>
      <c r="I27" s="5"/>
    </row>
    <row r="28">
      <c r="A28" s="5" t="s">
        <v>5</v>
      </c>
      <c r="B28" s="103" t="s">
        <v>1751</v>
      </c>
      <c r="C28" s="25">
        <v>67.0</v>
      </c>
      <c r="D28" s="79" t="b">
        <v>0</v>
      </c>
      <c r="E28" s="5"/>
      <c r="F28" s="76"/>
      <c r="G28" s="5"/>
      <c r="H28" s="5"/>
      <c r="I28" s="5"/>
    </row>
    <row r="29">
      <c r="A29" s="5" t="s">
        <v>5</v>
      </c>
      <c r="B29" s="71" t="s">
        <v>1754</v>
      </c>
      <c r="C29" s="25">
        <v>72.0</v>
      </c>
      <c r="D29" s="79" t="b">
        <v>0</v>
      </c>
      <c r="E29" s="71"/>
      <c r="F29" s="76"/>
      <c r="G29" s="5"/>
      <c r="H29" s="5"/>
      <c r="I29" s="5"/>
    </row>
    <row r="30">
      <c r="A30" s="5" t="s">
        <v>5</v>
      </c>
      <c r="B30" s="71" t="s">
        <v>1757</v>
      </c>
      <c r="C30" s="25">
        <v>72.0</v>
      </c>
      <c r="D30" s="79" t="b">
        <v>0</v>
      </c>
      <c r="E30" s="76"/>
      <c r="F30" s="76"/>
      <c r="G30" s="5"/>
      <c r="H30" s="5"/>
      <c r="I30" s="5"/>
    </row>
    <row r="31">
      <c r="A31" s="5" t="s">
        <v>5</v>
      </c>
      <c r="B31" s="71" t="s">
        <v>1760</v>
      </c>
      <c r="C31" s="25">
        <v>79.0</v>
      </c>
      <c r="D31" s="79" t="b">
        <v>1</v>
      </c>
      <c r="E31" s="71"/>
      <c r="F31" s="76"/>
      <c r="G31" s="5"/>
      <c r="H31" s="5"/>
      <c r="I31" s="5"/>
    </row>
    <row r="32">
      <c r="A32" s="5" t="s">
        <v>5</v>
      </c>
      <c r="B32" s="71" t="s">
        <v>1763</v>
      </c>
      <c r="C32" s="25">
        <v>79.0</v>
      </c>
      <c r="D32" s="79" t="b">
        <v>0</v>
      </c>
      <c r="E32" s="71"/>
      <c r="F32" s="76"/>
      <c r="G32" s="5"/>
      <c r="H32" s="5"/>
      <c r="I32" s="5"/>
    </row>
    <row r="33">
      <c r="A33" s="5" t="s">
        <v>5</v>
      </c>
      <c r="B33" s="71" t="s">
        <v>1766</v>
      </c>
      <c r="C33" s="25">
        <v>87.0</v>
      </c>
      <c r="D33" s="79" t="b">
        <v>0</v>
      </c>
      <c r="E33" s="71"/>
      <c r="F33" s="76"/>
      <c r="G33" s="5"/>
      <c r="H33" s="5"/>
      <c r="I33" s="5"/>
    </row>
    <row r="34">
      <c r="A34" s="5" t="s">
        <v>5</v>
      </c>
      <c r="B34" s="71" t="s">
        <v>1769</v>
      </c>
      <c r="C34" s="25">
        <v>87.0</v>
      </c>
      <c r="D34" s="79" t="b">
        <v>0</v>
      </c>
      <c r="E34" s="71"/>
      <c r="F34" s="76"/>
      <c r="G34" s="5"/>
      <c r="H34" s="5"/>
      <c r="I34" s="5"/>
    </row>
    <row r="35">
      <c r="A35" s="5" t="s">
        <v>4</v>
      </c>
      <c r="B35" s="71" t="s">
        <v>195</v>
      </c>
      <c r="C35" s="25">
        <v>90.0</v>
      </c>
      <c r="D35" s="79" t="b">
        <v>0</v>
      </c>
      <c r="E35" s="71"/>
      <c r="F35" s="76"/>
      <c r="G35" s="5"/>
      <c r="H35" s="5"/>
      <c r="I35" s="5"/>
    </row>
    <row r="36">
      <c r="B36" s="97"/>
      <c r="E36" s="97"/>
      <c r="F36" s="98"/>
      <c r="H36" s="5"/>
      <c r="I36" s="52"/>
    </row>
    <row r="37">
      <c r="F37" s="98"/>
      <c r="H37" s="5"/>
      <c r="I37" s="52"/>
    </row>
    <row r="38">
      <c r="F38" s="98"/>
      <c r="H38" s="5"/>
      <c r="I38" s="52"/>
    </row>
    <row r="39">
      <c r="F39" s="98"/>
      <c r="H39" s="5"/>
      <c r="I39" s="52"/>
    </row>
    <row r="40">
      <c r="F40" s="98"/>
      <c r="H40" s="5"/>
      <c r="I40" s="52"/>
    </row>
    <row r="41">
      <c r="F41" s="98"/>
      <c r="H41" s="5"/>
      <c r="I41" s="52"/>
    </row>
    <row r="42">
      <c r="A42" s="46"/>
      <c r="B42" s="46"/>
      <c r="C42" s="77"/>
      <c r="D42" s="46"/>
      <c r="F42" s="98"/>
      <c r="H42" s="5"/>
      <c r="I42" s="52"/>
    </row>
    <row r="43">
      <c r="A43" s="46"/>
      <c r="B43" s="46"/>
      <c r="C43" s="46"/>
      <c r="D43" s="46"/>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2</v>
      </c>
      <c r="D2" s="17">
        <f t="shared" ref="D2:D6" si="2">C2/COUNTA(I$2:I1000)</f>
        <v>0.07407407407</v>
      </c>
      <c r="E2" s="83">
        <v>1.623675683E9</v>
      </c>
      <c r="F2" s="68">
        <f>IFERROR(__xludf.DUMMYFUNCTION("INDEX(SPLIT(E2, char(10)), 0, 1)/86400+date(1970,1,1)"),44361.54262731482)</f>
        <v>44361.54263</v>
      </c>
      <c r="G2" s="86" t="s">
        <v>1926</v>
      </c>
      <c r="H2" s="84" t="s">
        <v>1927</v>
      </c>
      <c r="I2" s="46" t="s">
        <v>11</v>
      </c>
    </row>
    <row r="3">
      <c r="A3" s="5" t="s">
        <v>11</v>
      </c>
      <c r="B3" s="5" t="s">
        <v>111</v>
      </c>
      <c r="C3" s="25">
        <f t="shared" si="1"/>
        <v>5</v>
      </c>
      <c r="D3" s="17">
        <f t="shared" si="2"/>
        <v>0.1851851852</v>
      </c>
      <c r="E3" s="83">
        <v>1.623677296E9</v>
      </c>
      <c r="F3" s="68">
        <f>IFERROR(__xludf.DUMMYFUNCTION("INDEX(SPLIT(E3, char(10)), 0, 1)/86400+date(1970,1,1)"),44361.56129629629)</f>
        <v>44361.5613</v>
      </c>
      <c r="G3" s="86" t="s">
        <v>1928</v>
      </c>
      <c r="H3" s="84" t="s">
        <v>1929</v>
      </c>
      <c r="I3" s="46" t="s">
        <v>14</v>
      </c>
    </row>
    <row r="4">
      <c r="A4" s="5" t="s">
        <v>12</v>
      </c>
      <c r="B4" s="5" t="s">
        <v>114</v>
      </c>
      <c r="C4" s="25">
        <f t="shared" si="1"/>
        <v>6</v>
      </c>
      <c r="D4" s="17">
        <f t="shared" si="2"/>
        <v>0.2222222222</v>
      </c>
      <c r="E4" s="83">
        <v>1.623677593E9</v>
      </c>
      <c r="F4" s="68">
        <f>IFERROR(__xludf.DUMMYFUNCTION("INDEX(SPLIT(E4, char(10)), 0, 1)/86400+date(1970,1,1)"),44361.564733796295)</f>
        <v>44361.56473</v>
      </c>
      <c r="G4" s="86" t="s">
        <v>396</v>
      </c>
      <c r="H4" s="84" t="s">
        <v>1930</v>
      </c>
      <c r="I4" s="46" t="s">
        <v>14</v>
      </c>
    </row>
    <row r="5">
      <c r="A5" s="5" t="s">
        <v>13</v>
      </c>
      <c r="B5" s="5" t="s">
        <v>117</v>
      </c>
      <c r="C5" s="25">
        <f t="shared" si="1"/>
        <v>5</v>
      </c>
      <c r="D5" s="17">
        <f t="shared" si="2"/>
        <v>0.1851851852</v>
      </c>
      <c r="E5" s="83">
        <v>1.623677749E9</v>
      </c>
      <c r="F5" s="68">
        <f>IFERROR(__xludf.DUMMYFUNCTION("INDEX(SPLIT(E5, char(10)), 0, 1)/86400+date(1970,1,1)"),44361.56653935185)</f>
        <v>44361.56654</v>
      </c>
      <c r="G5" s="86" t="s">
        <v>1931</v>
      </c>
      <c r="H5" s="84" t="s">
        <v>1932</v>
      </c>
      <c r="I5" s="46" t="s">
        <v>12</v>
      </c>
    </row>
    <row r="6">
      <c r="A6" s="5" t="s">
        <v>14</v>
      </c>
      <c r="B6" s="5" t="s">
        <v>120</v>
      </c>
      <c r="C6" s="25">
        <f t="shared" si="1"/>
        <v>9</v>
      </c>
      <c r="D6" s="17">
        <f t="shared" si="2"/>
        <v>0.3333333333</v>
      </c>
      <c r="E6" s="83">
        <v>1.623678147E9</v>
      </c>
      <c r="F6" s="68">
        <f>IFERROR(__xludf.DUMMYFUNCTION("INDEX(SPLIT(E6, char(10)), 0, 1)/86400+date(1970,1,1)"),44361.57114583333)</f>
        <v>44361.57115</v>
      </c>
      <c r="G6" s="46" t="s">
        <v>1933</v>
      </c>
      <c r="H6" s="84" t="s">
        <v>1934</v>
      </c>
      <c r="I6" s="46" t="s">
        <v>13</v>
      </c>
    </row>
    <row r="7">
      <c r="A7" s="5"/>
      <c r="B7" s="5" t="s">
        <v>10</v>
      </c>
      <c r="C7" s="23">
        <f t="shared" ref="C7:D7" si="3">SUM(C2:C6)</f>
        <v>27</v>
      </c>
      <c r="D7" s="70">
        <f t="shared" si="3"/>
        <v>1</v>
      </c>
      <c r="E7" s="83">
        <v>1.623678239E9</v>
      </c>
      <c r="F7" s="68">
        <f>IFERROR(__xludf.DUMMYFUNCTION("INDEX(SPLIT(E7, char(10)), 0, 1)/86400+date(1970,1,1)"),44361.57221064815)</f>
        <v>44361.57221</v>
      </c>
      <c r="G7" s="46" t="s">
        <v>1935</v>
      </c>
      <c r="H7" s="84" t="s">
        <v>1936</v>
      </c>
      <c r="I7" s="46" t="s">
        <v>93</v>
      </c>
    </row>
    <row r="8">
      <c r="A8" s="71"/>
      <c r="B8" s="5" t="s">
        <v>15</v>
      </c>
      <c r="C8" s="25">
        <f t="shared" ref="C8:D8" si="4">SUM(C5:C6)</f>
        <v>14</v>
      </c>
      <c r="D8" s="17">
        <f t="shared" si="4"/>
        <v>0.5185185185</v>
      </c>
      <c r="E8" s="83">
        <v>1.623678362E9</v>
      </c>
      <c r="F8" s="68">
        <f>IFERROR(__xludf.DUMMYFUNCTION("INDEX(SPLIT(E8, char(10)), 0, 1)/86400+date(1970,1,1)"),44361.57363425926)</f>
        <v>44361.57363</v>
      </c>
      <c r="G8" s="86" t="s">
        <v>1937</v>
      </c>
      <c r="H8" s="84" t="s">
        <v>1938</v>
      </c>
      <c r="I8" s="46" t="s">
        <v>14</v>
      </c>
    </row>
    <row r="9">
      <c r="A9" s="71"/>
      <c r="B9" s="5" t="s">
        <v>127</v>
      </c>
      <c r="C9" s="25">
        <f>C2+C5+C6</f>
        <v>16</v>
      </c>
      <c r="D9" s="17">
        <f>SUM(D5:D6) + D2</f>
        <v>0.5925925926</v>
      </c>
      <c r="E9" s="83">
        <v>1.623678461E9</v>
      </c>
      <c r="F9" s="68">
        <f>IFERROR(__xludf.DUMMYFUNCTION("INDEX(SPLIT(E9, char(10)), 0, 1)/86400+date(1970,1,1)"),44361.57478009259)</f>
        <v>44361.57478</v>
      </c>
      <c r="G9" s="86" t="s">
        <v>1939</v>
      </c>
      <c r="H9" s="84" t="s">
        <v>1940</v>
      </c>
      <c r="I9" s="46" t="s">
        <v>14</v>
      </c>
    </row>
    <row r="10">
      <c r="A10" s="71"/>
      <c r="B10" s="71"/>
      <c r="C10" s="71"/>
      <c r="D10" s="71"/>
      <c r="E10" s="83">
        <v>1.623678598E9</v>
      </c>
      <c r="F10" s="68">
        <f>IFERROR(__xludf.DUMMYFUNCTION("INDEX(SPLIT(E10, char(10)), 0, 1)/86400+date(1970,1,1)"),44361.57636574074)</f>
        <v>44361.57637</v>
      </c>
      <c r="G10" s="86" t="s">
        <v>1941</v>
      </c>
      <c r="H10" s="84" t="s">
        <v>1942</v>
      </c>
      <c r="I10" s="46" t="s">
        <v>13</v>
      </c>
    </row>
    <row r="11">
      <c r="A11" s="71"/>
      <c r="B11" s="71"/>
      <c r="C11" s="71"/>
      <c r="D11" s="71"/>
      <c r="E11" s="83">
        <v>1.623678689E9</v>
      </c>
      <c r="F11" s="68">
        <f>IFERROR(__xludf.DUMMYFUNCTION("INDEX(SPLIT(E11, char(10)), 0, 1)/86400+date(1970,1,1)"),44361.577418981484)</f>
        <v>44361.57742</v>
      </c>
      <c r="G11" s="86" t="s">
        <v>1943</v>
      </c>
      <c r="H11" s="84" t="s">
        <v>1944</v>
      </c>
      <c r="I11" s="46" t="s">
        <v>11</v>
      </c>
    </row>
    <row r="12">
      <c r="A12" s="13" t="s">
        <v>134</v>
      </c>
      <c r="B12" s="104" t="s">
        <v>1945</v>
      </c>
      <c r="C12" s="71"/>
      <c r="D12" s="71"/>
      <c r="E12" s="83">
        <v>1.623679671E9</v>
      </c>
      <c r="F12" s="68">
        <f>IFERROR(__xludf.DUMMYFUNCTION("INDEX(SPLIT(E12, char(10)), 0, 1)/86400+date(1970,1,1)"),44361.58878472222)</f>
        <v>44361.58878</v>
      </c>
      <c r="G12" s="84" t="s">
        <v>1946</v>
      </c>
      <c r="H12" s="84" t="s">
        <v>1947</v>
      </c>
      <c r="I12" s="46" t="s">
        <v>14</v>
      </c>
    </row>
    <row r="13">
      <c r="A13" s="13" t="s">
        <v>138</v>
      </c>
      <c r="B13" s="71"/>
      <c r="C13" s="13" t="s">
        <v>101</v>
      </c>
      <c r="D13" s="13" t="s">
        <v>102</v>
      </c>
      <c r="E13" s="83">
        <v>1.623679798E9</v>
      </c>
      <c r="F13" s="68">
        <f>IFERROR(__xludf.DUMMYFUNCTION("INDEX(SPLIT(E13, char(10)), 0, 1)/86400+date(1970,1,1)"),44361.59025462963)</f>
        <v>44361.59025</v>
      </c>
      <c r="G13" s="84" t="s">
        <v>1948</v>
      </c>
      <c r="H13" s="84" t="s">
        <v>1949</v>
      </c>
      <c r="I13" s="46" t="s">
        <v>1950</v>
      </c>
    </row>
    <row r="14">
      <c r="A14" s="5" t="s">
        <v>141</v>
      </c>
      <c r="B14" s="5" t="s">
        <v>142</v>
      </c>
      <c r="C14" s="23">
        <f t="shared" ref="C14:C17" si="5">COUNTIF($A$19:$A1000, A14)</f>
        <v>2</v>
      </c>
      <c r="D14" s="17">
        <f>IFERROR(__xludf.DUMMYFUNCTION("IF(C14, COUNTIF(FILTER($D$19:$D1000, $A$19:$A1000=A14), TRUE)/C14, 0)"),1.0)</f>
        <v>1</v>
      </c>
      <c r="E14" s="83">
        <v>1.623679891E9</v>
      </c>
      <c r="F14" s="68">
        <f>IFERROR(__xludf.DUMMYFUNCTION("INDEX(SPLIT(E14, char(10)), 0, 1)/86400+date(1970,1,1)"),44361.59133101851)</f>
        <v>44361.59133</v>
      </c>
      <c r="G14" s="84" t="s">
        <v>1951</v>
      </c>
      <c r="H14" s="84" t="s">
        <v>1952</v>
      </c>
      <c r="I14" s="46" t="s">
        <v>12</v>
      </c>
    </row>
    <row r="15">
      <c r="A15" s="5" t="s">
        <v>3</v>
      </c>
      <c r="B15" s="5" t="s">
        <v>145</v>
      </c>
      <c r="C15" s="23">
        <f t="shared" si="5"/>
        <v>0</v>
      </c>
      <c r="D15" s="17">
        <f>IFERROR(__xludf.DUMMYFUNCTION("IF(C15, COUNTIF(FILTER($D$19:$D1000, $A$19:$A1000=A15), TRUE)/C15, 0)"),0.0)</f>
        <v>0</v>
      </c>
      <c r="E15" s="83">
        <v>1.623680001E9</v>
      </c>
      <c r="F15" s="68">
        <f>IFERROR(__xludf.DUMMYFUNCTION("INDEX(SPLIT(E15, char(10)), 0, 1)/86400+date(1970,1,1)"),44361.59260416667)</f>
        <v>44361.5926</v>
      </c>
      <c r="G15" s="84" t="s">
        <v>1953</v>
      </c>
      <c r="H15" s="84" t="s">
        <v>1954</v>
      </c>
      <c r="I15" s="46" t="s">
        <v>14</v>
      </c>
    </row>
    <row r="16">
      <c r="A16" s="5" t="s">
        <v>4</v>
      </c>
      <c r="B16" s="5" t="s">
        <v>148</v>
      </c>
      <c r="C16" s="23">
        <f t="shared" si="5"/>
        <v>4</v>
      </c>
      <c r="D16" s="17">
        <f>IFERROR(__xludf.DUMMYFUNCTION("IF(C16, COUNTIF(FILTER($D$19:$D1000, $A$19:$A1000=A16), TRUE)/C16, 0)"),0.25)</f>
        <v>0.25</v>
      </c>
      <c r="E16" s="83">
        <v>1.623680276E9</v>
      </c>
      <c r="F16" s="68">
        <f>IFERROR(__xludf.DUMMYFUNCTION("INDEX(SPLIT(E16, char(10)), 0, 1)/86400+date(1970,1,1)"),44361.59578703703)</f>
        <v>44361.59579</v>
      </c>
      <c r="G16" s="84" t="s">
        <v>1955</v>
      </c>
      <c r="H16" s="84" t="s">
        <v>1956</v>
      </c>
      <c r="I16" s="46" t="s">
        <v>12</v>
      </c>
    </row>
    <row r="17">
      <c r="A17" s="5" t="s">
        <v>5</v>
      </c>
      <c r="B17" s="5" t="s">
        <v>151</v>
      </c>
      <c r="C17" s="23">
        <f t="shared" si="5"/>
        <v>10</v>
      </c>
      <c r="D17" s="17">
        <f>IFERROR(__xludf.DUMMYFUNCTION("IF(C17, COUNTIF(FILTER($D$19:$D1000, $A$19:$A1000=A17), TRUE)/C17, 0)"),0.3)</f>
        <v>0.3</v>
      </c>
      <c r="E17" s="83">
        <v>1.623680385E9</v>
      </c>
      <c r="F17" s="68">
        <f>IFERROR(__xludf.DUMMYFUNCTION("INDEX(SPLIT(E17, char(10)), 0, 1)/86400+date(1970,1,1)"),44361.59704861111)</f>
        <v>44361.59705</v>
      </c>
      <c r="G17" s="84" t="s">
        <v>1957</v>
      </c>
      <c r="H17" s="84" t="s">
        <v>1958</v>
      </c>
      <c r="I17" s="46" t="s">
        <v>11</v>
      </c>
    </row>
    <row r="18">
      <c r="A18" s="71"/>
      <c r="B18" s="13" t="s">
        <v>6</v>
      </c>
      <c r="C18" s="23">
        <f>SUM(C14:C17)</f>
        <v>16</v>
      </c>
      <c r="D18" s="17">
        <f>COUNTIF($D$19:$D1000, TRUE)/SUM($C$14:$C$17)</f>
        <v>0.375</v>
      </c>
      <c r="E18" s="83">
        <v>1.623680566E9</v>
      </c>
      <c r="F18" s="68">
        <f>IFERROR(__xludf.DUMMYFUNCTION("INDEX(SPLIT(E18, char(10)), 0, 1)/86400+date(1970,1,1)"),44361.59914351851)</f>
        <v>44361.59914</v>
      </c>
      <c r="G18" s="84" t="s">
        <v>1959</v>
      </c>
      <c r="H18" s="84" t="s">
        <v>1960</v>
      </c>
      <c r="I18" s="46" t="s">
        <v>14</v>
      </c>
    </row>
    <row r="19">
      <c r="A19" s="13" t="s">
        <v>107</v>
      </c>
      <c r="B19" s="13" t="s">
        <v>156</v>
      </c>
      <c r="C19" s="13" t="s">
        <v>157</v>
      </c>
      <c r="D19" s="13" t="s">
        <v>158</v>
      </c>
      <c r="E19" s="83">
        <v>1.623680663E9</v>
      </c>
      <c r="F19" s="68">
        <f>IFERROR(__xludf.DUMMYFUNCTION("INDEX(SPLIT(E19, char(10)), 0, 1)/86400+date(1970,1,1)"),44361.600266203706)</f>
        <v>44361.60027</v>
      </c>
      <c r="G19" s="84" t="s">
        <v>1961</v>
      </c>
      <c r="H19" s="84" t="s">
        <v>1962</v>
      </c>
      <c r="I19" s="46" t="s">
        <v>14</v>
      </c>
    </row>
    <row r="20">
      <c r="A20" s="5" t="s">
        <v>4</v>
      </c>
      <c r="B20" s="5" t="s">
        <v>161</v>
      </c>
      <c r="C20" s="25">
        <v>1.0</v>
      </c>
      <c r="D20" s="79" t="b">
        <v>0</v>
      </c>
      <c r="E20" s="83">
        <v>1.623680787E9</v>
      </c>
      <c r="F20" s="68">
        <f>IFERROR(__xludf.DUMMYFUNCTION("INDEX(SPLIT(E20, char(10)), 0, 1)/86400+date(1970,1,1)"),44361.60170138889)</f>
        <v>44361.6017</v>
      </c>
      <c r="G20" s="84" t="s">
        <v>1963</v>
      </c>
      <c r="H20" s="84" t="s">
        <v>1964</v>
      </c>
      <c r="I20" s="46" t="s">
        <v>11</v>
      </c>
    </row>
    <row r="21">
      <c r="A21" s="5" t="s">
        <v>141</v>
      </c>
      <c r="B21" s="5" t="s">
        <v>1733</v>
      </c>
      <c r="C21" s="25">
        <v>42.0</v>
      </c>
      <c r="D21" s="79" t="b">
        <v>1</v>
      </c>
      <c r="E21" s="83">
        <v>1.623680909E9</v>
      </c>
      <c r="F21" s="68">
        <f>IFERROR(__xludf.DUMMYFUNCTION("INDEX(SPLIT(E21, char(10)), 0, 1)/86400+date(1970,1,1)"),44361.603113425925)</f>
        <v>44361.60311</v>
      </c>
      <c r="G21" s="84" t="s">
        <v>1965</v>
      </c>
      <c r="H21" s="84" t="s">
        <v>1966</v>
      </c>
      <c r="I21" s="46" t="s">
        <v>13</v>
      </c>
    </row>
    <row r="22">
      <c r="A22" s="5" t="s">
        <v>4</v>
      </c>
      <c r="B22" s="5" t="s">
        <v>167</v>
      </c>
      <c r="C22" s="25">
        <v>45.0</v>
      </c>
      <c r="D22" s="79" t="b">
        <v>1</v>
      </c>
      <c r="E22" s="83">
        <v>1.623681001E9</v>
      </c>
      <c r="F22" s="68">
        <f>IFERROR(__xludf.DUMMYFUNCTION("INDEX(SPLIT(E22, char(10)), 0, 1)/86400+date(1970,1,1)"),44361.60417824074)</f>
        <v>44361.60418</v>
      </c>
      <c r="G22" s="84" t="s">
        <v>1967</v>
      </c>
      <c r="H22" s="84" t="s">
        <v>1968</v>
      </c>
      <c r="I22" s="46" t="s">
        <v>12</v>
      </c>
    </row>
    <row r="23">
      <c r="A23" s="5" t="s">
        <v>4</v>
      </c>
      <c r="B23" s="5" t="s">
        <v>170</v>
      </c>
      <c r="C23" s="25">
        <v>46.0</v>
      </c>
      <c r="D23" s="79" t="b">
        <v>0</v>
      </c>
      <c r="E23" s="83">
        <v>1.623681158E9</v>
      </c>
      <c r="F23" s="68">
        <f>IFERROR(__xludf.DUMMYFUNCTION("INDEX(SPLIT(E23, char(10)), 0, 1)/86400+date(1970,1,1)"),44361.605995370366)</f>
        <v>44361.606</v>
      </c>
      <c r="G23" s="84" t="s">
        <v>1969</v>
      </c>
      <c r="H23" s="84" t="s">
        <v>1970</v>
      </c>
      <c r="I23" s="46" t="s">
        <v>12</v>
      </c>
    </row>
    <row r="24">
      <c r="A24" s="5" t="s">
        <v>5</v>
      </c>
      <c r="B24" s="5" t="s">
        <v>1740</v>
      </c>
      <c r="C24" s="25">
        <v>46.0</v>
      </c>
      <c r="D24" s="79" t="b">
        <v>0</v>
      </c>
      <c r="E24" s="83">
        <v>1.623681422E9</v>
      </c>
      <c r="F24" s="68">
        <f>IFERROR(__xludf.DUMMYFUNCTION("INDEX(SPLIT(E24, char(10)), 0, 1)/86400+date(1970,1,1)"),44361.60905092592)</f>
        <v>44361.60905</v>
      </c>
      <c r="G24" s="84" t="s">
        <v>1971</v>
      </c>
      <c r="H24" s="84" t="s">
        <v>1972</v>
      </c>
      <c r="I24" s="46" t="s">
        <v>13</v>
      </c>
    </row>
    <row r="25">
      <c r="A25" s="5" t="s">
        <v>141</v>
      </c>
      <c r="B25" s="71" t="s">
        <v>1733</v>
      </c>
      <c r="C25" s="25">
        <v>52.0</v>
      </c>
      <c r="D25" s="79" t="b">
        <v>1</v>
      </c>
      <c r="E25" s="83">
        <v>1.623681559E9</v>
      </c>
      <c r="F25" s="68">
        <f>IFERROR(__xludf.DUMMYFUNCTION("INDEX(SPLIT(E25, char(10)), 0, 1)/86400+date(1970,1,1)"),44361.61063657407)</f>
        <v>44361.61064</v>
      </c>
      <c r="G25" s="84" t="s">
        <v>1973</v>
      </c>
      <c r="H25" s="84" t="s">
        <v>1974</v>
      </c>
      <c r="I25" s="46" t="s">
        <v>14</v>
      </c>
    </row>
    <row r="26">
      <c r="A26" s="5" t="s">
        <v>5</v>
      </c>
      <c r="B26" s="71" t="s">
        <v>1745</v>
      </c>
      <c r="C26" s="25">
        <v>67.0</v>
      </c>
      <c r="D26" s="79" t="b">
        <v>0</v>
      </c>
      <c r="E26" s="84">
        <v>1.623681806E9</v>
      </c>
      <c r="F26" s="68">
        <f>IFERROR(__xludf.DUMMYFUNCTION("INDEX(SPLIT(E26, char(10)), 0, 1)/86400+date(1970,1,1)"),44361.61349537037)</f>
        <v>44361.6135</v>
      </c>
      <c r="G26" s="84" t="s">
        <v>1975</v>
      </c>
      <c r="H26" s="84" t="s">
        <v>1976</v>
      </c>
      <c r="I26" s="46" t="s">
        <v>11</v>
      </c>
    </row>
    <row r="27">
      <c r="A27" s="5" t="s">
        <v>5</v>
      </c>
      <c r="B27" s="71" t="s">
        <v>1748</v>
      </c>
      <c r="C27" s="25">
        <v>67.0</v>
      </c>
      <c r="D27" s="79" t="b">
        <v>0</v>
      </c>
      <c r="E27" s="84">
        <v>1.623682E9</v>
      </c>
      <c r="F27" s="68">
        <f>IFERROR(__xludf.DUMMYFUNCTION("INDEX(SPLIT(E27, char(10)), 0, 1)/86400+date(1970,1,1)"),44361.615740740745)</f>
        <v>44361.61574</v>
      </c>
      <c r="G27" s="84" t="s">
        <v>498</v>
      </c>
      <c r="H27" s="84" t="s">
        <v>1977</v>
      </c>
      <c r="I27" s="46" t="s">
        <v>93</v>
      </c>
    </row>
    <row r="28">
      <c r="A28" s="5" t="s">
        <v>5</v>
      </c>
      <c r="B28" s="103" t="s">
        <v>1751</v>
      </c>
      <c r="C28" s="25">
        <v>67.0</v>
      </c>
      <c r="D28" s="79" t="b">
        <v>0</v>
      </c>
      <c r="E28" s="84">
        <v>1.62368243E9</v>
      </c>
      <c r="F28" s="68">
        <f>IFERROR(__xludf.DUMMYFUNCTION("INDEX(SPLIT(E28, char(10)), 0, 1)/86400+date(1970,1,1)"),44361.620717592596)</f>
        <v>44361.62072</v>
      </c>
      <c r="G28" s="84" t="s">
        <v>1978</v>
      </c>
      <c r="H28" s="84" t="s">
        <v>1979</v>
      </c>
      <c r="I28" s="46" t="s">
        <v>12</v>
      </c>
    </row>
    <row r="29">
      <c r="A29" s="5" t="s">
        <v>5</v>
      </c>
      <c r="B29" s="71" t="s">
        <v>1754</v>
      </c>
      <c r="C29" s="25">
        <v>72.0</v>
      </c>
      <c r="D29" s="79" t="b">
        <v>1</v>
      </c>
      <c r="E29" s="95"/>
      <c r="F29" s="68"/>
      <c r="G29" s="84"/>
      <c r="H29" s="84"/>
      <c r="I29" s="5"/>
    </row>
    <row r="30">
      <c r="A30" s="5" t="s">
        <v>5</v>
      </c>
      <c r="B30" s="71" t="s">
        <v>1757</v>
      </c>
      <c r="C30" s="25">
        <v>72.0</v>
      </c>
      <c r="D30" s="79" t="b">
        <v>1</v>
      </c>
      <c r="E30" s="76"/>
      <c r="F30" s="76"/>
      <c r="G30" s="5"/>
      <c r="H30" s="5"/>
      <c r="I30" s="5"/>
    </row>
    <row r="31">
      <c r="A31" s="5" t="s">
        <v>5</v>
      </c>
      <c r="B31" s="71" t="s">
        <v>1760</v>
      </c>
      <c r="C31" s="25">
        <v>79.0</v>
      </c>
      <c r="D31" s="79" t="b">
        <v>1</v>
      </c>
      <c r="E31" s="71"/>
      <c r="F31" s="76"/>
      <c r="G31" s="5"/>
      <c r="H31" s="5"/>
      <c r="I31" s="5"/>
    </row>
    <row r="32">
      <c r="A32" s="5" t="s">
        <v>5</v>
      </c>
      <c r="B32" s="71" t="s">
        <v>1763</v>
      </c>
      <c r="C32" s="25">
        <v>79.0</v>
      </c>
      <c r="D32" s="79" t="b">
        <v>0</v>
      </c>
      <c r="E32" s="71"/>
      <c r="F32" s="76"/>
      <c r="G32" s="5"/>
      <c r="H32" s="5"/>
      <c r="I32" s="5"/>
    </row>
    <row r="33">
      <c r="A33" s="5" t="s">
        <v>5</v>
      </c>
      <c r="B33" s="71" t="s">
        <v>1766</v>
      </c>
      <c r="C33" s="25">
        <v>87.0</v>
      </c>
      <c r="D33" s="79" t="b">
        <v>0</v>
      </c>
      <c r="E33" s="71"/>
      <c r="F33" s="76"/>
      <c r="G33" s="5"/>
      <c r="H33" s="5"/>
      <c r="I33" s="5"/>
    </row>
    <row r="34">
      <c r="A34" s="5" t="s">
        <v>5</v>
      </c>
      <c r="B34" s="71" t="s">
        <v>1769</v>
      </c>
      <c r="C34" s="25">
        <v>87.0</v>
      </c>
      <c r="D34" s="79" t="b">
        <v>0</v>
      </c>
      <c r="E34" s="71"/>
      <c r="F34" s="76"/>
      <c r="G34" s="5"/>
      <c r="H34" s="5"/>
      <c r="I34" s="5"/>
    </row>
    <row r="35">
      <c r="A35" s="5" t="s">
        <v>4</v>
      </c>
      <c r="B35" s="71" t="s">
        <v>195</v>
      </c>
      <c r="C35" s="25">
        <v>90.0</v>
      </c>
      <c r="D35" s="79" t="b">
        <v>0</v>
      </c>
      <c r="E35" s="71"/>
      <c r="F35" s="76"/>
      <c r="G35" s="5"/>
      <c r="H35" s="5"/>
      <c r="I35" s="5"/>
    </row>
    <row r="36">
      <c r="B36" s="97"/>
      <c r="E36" s="97"/>
      <c r="F36" s="98"/>
      <c r="H36" s="5"/>
      <c r="I36" s="52"/>
    </row>
    <row r="37">
      <c r="F37" s="98"/>
      <c r="H37" s="5"/>
      <c r="I37" s="52"/>
    </row>
    <row r="38">
      <c r="F38" s="98"/>
      <c r="H38" s="5"/>
      <c r="I38" s="52"/>
    </row>
    <row r="39">
      <c r="F39" s="98"/>
      <c r="H39" s="5"/>
      <c r="I39" s="52"/>
    </row>
    <row r="40">
      <c r="F40" s="98"/>
      <c r="H40" s="5"/>
      <c r="I40" s="52"/>
    </row>
    <row r="41">
      <c r="F41" s="98"/>
      <c r="H41" s="5"/>
      <c r="I41" s="52"/>
    </row>
    <row r="42">
      <c r="A42" s="46"/>
      <c r="B42" s="46"/>
      <c r="C42" s="77"/>
      <c r="D42" s="46"/>
      <c r="F42" s="98"/>
      <c r="H42" s="5"/>
      <c r="I42" s="52"/>
    </row>
    <row r="43">
      <c r="A43" s="46"/>
      <c r="B43" s="46"/>
      <c r="C43" s="46"/>
      <c r="D43" s="46"/>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2</v>
      </c>
      <c r="D2" s="17">
        <f t="shared" ref="D2:D6" si="2">C2/COUNTA(I$2:I1000)</f>
        <v>0.08333333333</v>
      </c>
      <c r="E2" s="83">
        <v>1.623677593E9</v>
      </c>
      <c r="F2" s="68">
        <f>IFERROR(__xludf.DUMMYFUNCTION("INDEX(SPLIT(E2, char(10)), 0, 1)/86400+date(1970,1,1)"),44361.564733796295)</f>
        <v>44361.56473</v>
      </c>
      <c r="G2" s="86" t="s">
        <v>396</v>
      </c>
      <c r="H2" s="84" t="s">
        <v>1980</v>
      </c>
      <c r="I2" s="46" t="s">
        <v>14</v>
      </c>
    </row>
    <row r="3">
      <c r="A3" s="5" t="s">
        <v>11</v>
      </c>
      <c r="B3" s="5" t="s">
        <v>111</v>
      </c>
      <c r="C3" s="25">
        <f t="shared" si="1"/>
        <v>2</v>
      </c>
      <c r="D3" s="17">
        <f t="shared" si="2"/>
        <v>0.08333333333</v>
      </c>
      <c r="E3" s="83">
        <v>1.623678147E9</v>
      </c>
      <c r="F3" s="68">
        <f>IFERROR(__xludf.DUMMYFUNCTION("INDEX(SPLIT(E3, char(10)), 0, 1)/86400+date(1970,1,1)"),44361.57114583333)</f>
        <v>44361.57115</v>
      </c>
      <c r="G3" s="86" t="s">
        <v>1981</v>
      </c>
      <c r="H3" s="84" t="s">
        <v>1982</v>
      </c>
      <c r="I3" s="46" t="s">
        <v>13</v>
      </c>
    </row>
    <row r="4">
      <c r="A4" s="5" t="s">
        <v>12</v>
      </c>
      <c r="B4" s="5" t="s">
        <v>114</v>
      </c>
      <c r="C4" s="25">
        <f t="shared" si="1"/>
        <v>6</v>
      </c>
      <c r="D4" s="17">
        <f t="shared" si="2"/>
        <v>0.25</v>
      </c>
      <c r="E4" s="83">
        <v>1.623678238E9</v>
      </c>
      <c r="F4" s="68">
        <f>IFERROR(__xludf.DUMMYFUNCTION("INDEX(SPLIT(E4, char(10)), 0, 1)/86400+date(1970,1,1)"),44361.57219907407)</f>
        <v>44361.5722</v>
      </c>
      <c r="G4" s="86" t="s">
        <v>1983</v>
      </c>
      <c r="H4" s="84" t="s">
        <v>1984</v>
      </c>
      <c r="I4" s="46" t="s">
        <v>14</v>
      </c>
    </row>
    <row r="5">
      <c r="A5" s="5" t="s">
        <v>13</v>
      </c>
      <c r="B5" s="5" t="s">
        <v>117</v>
      </c>
      <c r="C5" s="25">
        <f t="shared" si="1"/>
        <v>6</v>
      </c>
      <c r="D5" s="17">
        <f t="shared" si="2"/>
        <v>0.25</v>
      </c>
      <c r="E5" s="83">
        <v>1.62367836E9</v>
      </c>
      <c r="F5" s="68">
        <f>IFERROR(__xludf.DUMMYFUNCTION("INDEX(SPLIT(E5, char(10)), 0, 1)/86400+date(1970,1,1)"),44361.57361111111)</f>
        <v>44361.57361</v>
      </c>
      <c r="G5" s="86" t="s">
        <v>1985</v>
      </c>
      <c r="H5" s="84" t="s">
        <v>1986</v>
      </c>
      <c r="I5" s="46" t="s">
        <v>14</v>
      </c>
    </row>
    <row r="6">
      <c r="A6" s="5" t="s">
        <v>14</v>
      </c>
      <c r="B6" s="5" t="s">
        <v>120</v>
      </c>
      <c r="C6" s="25">
        <f t="shared" si="1"/>
        <v>8</v>
      </c>
      <c r="D6" s="17">
        <f t="shared" si="2"/>
        <v>0.3333333333</v>
      </c>
      <c r="E6" s="83">
        <v>1.623678488E9</v>
      </c>
      <c r="F6" s="68">
        <f>IFERROR(__xludf.DUMMYFUNCTION("INDEX(SPLIT(E6, char(10)), 0, 1)/86400+date(1970,1,1)"),44361.5750925926)</f>
        <v>44361.57509</v>
      </c>
      <c r="G6" s="46" t="s">
        <v>1987</v>
      </c>
      <c r="H6" s="84" t="s">
        <v>1988</v>
      </c>
      <c r="I6" s="46" t="s">
        <v>12</v>
      </c>
    </row>
    <row r="7">
      <c r="A7" s="5"/>
      <c r="B7" s="5" t="s">
        <v>10</v>
      </c>
      <c r="C7" s="23">
        <f t="shared" ref="C7:D7" si="3">SUM(C2:C6)</f>
        <v>24</v>
      </c>
      <c r="D7" s="70">
        <f t="shared" si="3"/>
        <v>1</v>
      </c>
      <c r="E7" s="83">
        <v>1.623678642E9</v>
      </c>
      <c r="F7" s="68">
        <f>IFERROR(__xludf.DUMMYFUNCTION("INDEX(SPLIT(E7, char(10)), 0, 1)/86400+date(1970,1,1)"),44361.576875)</f>
        <v>44361.57688</v>
      </c>
      <c r="G7" s="46" t="s">
        <v>1989</v>
      </c>
      <c r="H7" s="84" t="s">
        <v>1990</v>
      </c>
      <c r="I7" s="46" t="s">
        <v>13</v>
      </c>
    </row>
    <row r="8">
      <c r="A8" s="71"/>
      <c r="B8" s="5" t="s">
        <v>15</v>
      </c>
      <c r="C8" s="25">
        <f t="shared" ref="C8:D8" si="4">SUM(C5:C6)</f>
        <v>14</v>
      </c>
      <c r="D8" s="17">
        <f t="shared" si="4"/>
        <v>0.5833333333</v>
      </c>
      <c r="E8" s="83">
        <v>1.623679405E9</v>
      </c>
      <c r="F8" s="68">
        <f>IFERROR(__xludf.DUMMYFUNCTION("INDEX(SPLIT(E8, char(10)), 0, 1)/86400+date(1970,1,1)"),44361.58570601852)</f>
        <v>44361.58571</v>
      </c>
      <c r="G8" s="86" t="s">
        <v>498</v>
      </c>
      <c r="H8" s="84" t="s">
        <v>1991</v>
      </c>
      <c r="I8" s="46" t="s">
        <v>13</v>
      </c>
    </row>
    <row r="9">
      <c r="A9" s="71"/>
      <c r="B9" s="5" t="s">
        <v>127</v>
      </c>
      <c r="C9" s="25">
        <f>C2+C5+C6</f>
        <v>16</v>
      </c>
      <c r="D9" s="17">
        <f>SUM(D5:D6) + D2</f>
        <v>0.6666666667</v>
      </c>
      <c r="E9" s="83">
        <v>1.623679623E9</v>
      </c>
      <c r="F9" s="68">
        <f>IFERROR(__xludf.DUMMYFUNCTION("INDEX(SPLIT(E9, char(10)), 0, 1)/86400+date(1970,1,1)"),44361.588229166664)</f>
        <v>44361.58823</v>
      </c>
      <c r="G9" s="86" t="s">
        <v>1992</v>
      </c>
      <c r="H9" s="84" t="s">
        <v>1993</v>
      </c>
      <c r="I9" s="46" t="s">
        <v>14</v>
      </c>
    </row>
    <row r="10">
      <c r="A10" s="71"/>
      <c r="B10" s="71"/>
      <c r="C10" s="71"/>
      <c r="D10" s="71"/>
      <c r="E10" s="83">
        <v>1.623679793E9</v>
      </c>
      <c r="F10" s="68">
        <f>IFERROR(__xludf.DUMMYFUNCTION("INDEX(SPLIT(E10, char(10)), 0, 1)/86400+date(1970,1,1)"),44361.59019675926)</f>
        <v>44361.5902</v>
      </c>
      <c r="G10" s="86" t="s">
        <v>1994</v>
      </c>
      <c r="H10" s="84" t="s">
        <v>1995</v>
      </c>
      <c r="I10" s="46" t="s">
        <v>13</v>
      </c>
    </row>
    <row r="11">
      <c r="A11" s="71"/>
      <c r="B11" s="71"/>
      <c r="C11" s="71"/>
      <c r="D11" s="71"/>
      <c r="E11" s="83">
        <v>1.623679891E9</v>
      </c>
      <c r="F11" s="68">
        <f>IFERROR(__xludf.DUMMYFUNCTION("INDEX(SPLIT(E11, char(10)), 0, 1)/86400+date(1970,1,1)"),44361.59133101851)</f>
        <v>44361.59133</v>
      </c>
      <c r="G11" s="86" t="s">
        <v>1996</v>
      </c>
      <c r="H11" s="84" t="s">
        <v>1997</v>
      </c>
      <c r="I11" s="46" t="s">
        <v>93</v>
      </c>
    </row>
    <row r="12">
      <c r="A12" s="13" t="s">
        <v>134</v>
      </c>
      <c r="B12" s="104" t="s">
        <v>1998</v>
      </c>
      <c r="C12" s="71"/>
      <c r="D12" s="71"/>
      <c r="E12" s="83">
        <v>1.623680007E9</v>
      </c>
      <c r="F12" s="68">
        <f>IFERROR(__xludf.DUMMYFUNCTION("INDEX(SPLIT(E12, char(10)), 0, 1)/86400+date(1970,1,1)"),44361.592673611114)</f>
        <v>44361.59267</v>
      </c>
      <c r="G12" s="84" t="s">
        <v>1999</v>
      </c>
      <c r="H12" s="84" t="s">
        <v>2000</v>
      </c>
      <c r="I12" s="46" t="s">
        <v>12</v>
      </c>
    </row>
    <row r="13">
      <c r="A13" s="13" t="s">
        <v>138</v>
      </c>
      <c r="B13" s="71"/>
      <c r="C13" s="13" t="s">
        <v>101</v>
      </c>
      <c r="D13" s="13" t="s">
        <v>102</v>
      </c>
      <c r="E13" s="83">
        <v>1.62368011E9</v>
      </c>
      <c r="F13" s="68">
        <f>IFERROR(__xludf.DUMMYFUNCTION("INDEX(SPLIT(E13, char(10)), 0, 1)/86400+date(1970,1,1)"),44361.59386574074)</f>
        <v>44361.59387</v>
      </c>
      <c r="G13" s="84" t="s">
        <v>2001</v>
      </c>
      <c r="H13" s="84" t="s">
        <v>2002</v>
      </c>
      <c r="I13" s="46" t="s">
        <v>93</v>
      </c>
    </row>
    <row r="14">
      <c r="A14" s="5" t="s">
        <v>141</v>
      </c>
      <c r="B14" s="5" t="s">
        <v>142</v>
      </c>
      <c r="C14" s="23">
        <f t="shared" ref="C14:C17" si="5">COUNTIF($A$19:$A1000, A14)</f>
        <v>2</v>
      </c>
      <c r="D14" s="17">
        <f>IFERROR(__xludf.DUMMYFUNCTION("IF(C14, COUNTIF(FILTER($D$19:$D1000, $A$19:$A1000=A14), TRUE)/C14, 0)"),1.0)</f>
        <v>1</v>
      </c>
      <c r="E14" s="83">
        <v>1.623680204E9</v>
      </c>
      <c r="F14" s="68">
        <f>IFERROR(__xludf.DUMMYFUNCTION("INDEX(SPLIT(E14, char(10)), 0, 1)/86400+date(1970,1,1)"),44361.59495370371)</f>
        <v>44361.59495</v>
      </c>
      <c r="G14" s="84" t="s">
        <v>2003</v>
      </c>
      <c r="H14" s="84" t="s">
        <v>2004</v>
      </c>
      <c r="I14" s="46" t="s">
        <v>14</v>
      </c>
    </row>
    <row r="15">
      <c r="A15" s="5" t="s">
        <v>3</v>
      </c>
      <c r="B15" s="5" t="s">
        <v>145</v>
      </c>
      <c r="C15" s="23">
        <f t="shared" si="5"/>
        <v>0</v>
      </c>
      <c r="D15" s="17">
        <f>IFERROR(__xludf.DUMMYFUNCTION("IF(C15, COUNTIF(FILTER($D$19:$D1000, $A$19:$A1000=A15), TRUE)/C15, 0)"),0.0)</f>
        <v>0</v>
      </c>
      <c r="E15" s="83">
        <v>1.623680417E9</v>
      </c>
      <c r="F15" s="68">
        <f>IFERROR(__xludf.DUMMYFUNCTION("INDEX(SPLIT(E15, char(10)), 0, 1)/86400+date(1970,1,1)"),44361.59741898148)</f>
        <v>44361.59742</v>
      </c>
      <c r="G15" s="84" t="s">
        <v>2005</v>
      </c>
      <c r="H15" s="84" t="s">
        <v>2006</v>
      </c>
      <c r="I15" s="46" t="s">
        <v>14</v>
      </c>
    </row>
    <row r="16">
      <c r="A16" s="5" t="s">
        <v>4</v>
      </c>
      <c r="B16" s="5" t="s">
        <v>148</v>
      </c>
      <c r="C16" s="23">
        <f t="shared" si="5"/>
        <v>4</v>
      </c>
      <c r="D16" s="17">
        <f>IFERROR(__xludf.DUMMYFUNCTION("IF(C16, COUNTIF(FILTER($D$19:$D1000, $A$19:$A1000=A16), TRUE)/C16, 0)"),0.5)</f>
        <v>0.5</v>
      </c>
      <c r="E16" s="83">
        <v>1.623680526E9</v>
      </c>
      <c r="F16" s="68">
        <f>IFERROR(__xludf.DUMMYFUNCTION("INDEX(SPLIT(E16, char(10)), 0, 1)/86400+date(1970,1,1)"),44361.59868055556)</f>
        <v>44361.59868</v>
      </c>
      <c r="G16" s="84" t="s">
        <v>2007</v>
      </c>
      <c r="H16" s="84" t="s">
        <v>2008</v>
      </c>
      <c r="I16" s="46" t="s">
        <v>12</v>
      </c>
    </row>
    <row r="17">
      <c r="A17" s="5" t="s">
        <v>5</v>
      </c>
      <c r="B17" s="5" t="s">
        <v>151</v>
      </c>
      <c r="C17" s="23">
        <f t="shared" si="5"/>
        <v>10</v>
      </c>
      <c r="D17" s="17">
        <f>IFERROR(__xludf.DUMMYFUNCTION("IF(C17, COUNTIF(FILTER($D$19:$D1000, $A$19:$A1000=A17), TRUE)/C17, 0)"),0.3)</f>
        <v>0.3</v>
      </c>
      <c r="E17" s="83">
        <v>1.62368063E9</v>
      </c>
      <c r="F17" s="68">
        <f>IFERROR(__xludf.DUMMYFUNCTION("INDEX(SPLIT(E17, char(10)), 0, 1)/86400+date(1970,1,1)"),44361.59988425926)</f>
        <v>44361.59988</v>
      </c>
      <c r="G17" s="84" t="s">
        <v>2009</v>
      </c>
      <c r="H17" s="84" t="s">
        <v>2010</v>
      </c>
      <c r="I17" s="46" t="s">
        <v>14</v>
      </c>
    </row>
    <row r="18">
      <c r="A18" s="71"/>
      <c r="B18" s="13" t="s">
        <v>6</v>
      </c>
      <c r="C18" s="23">
        <f>SUM(C14:C17)</f>
        <v>16</v>
      </c>
      <c r="D18" s="17">
        <f>COUNTIF($D$19:$D1000, TRUE)/SUM($C$14:$C$17)</f>
        <v>0.4375</v>
      </c>
      <c r="E18" s="83">
        <v>1.623680756E9</v>
      </c>
      <c r="F18" s="68">
        <f>IFERROR(__xludf.DUMMYFUNCTION("INDEX(SPLIT(E18, char(10)), 0, 1)/86400+date(1970,1,1)"),44361.60134259259)</f>
        <v>44361.60134</v>
      </c>
      <c r="G18" s="84" t="s">
        <v>2011</v>
      </c>
      <c r="H18" s="84" t="s">
        <v>2012</v>
      </c>
      <c r="I18" s="46" t="s">
        <v>14</v>
      </c>
    </row>
    <row r="19">
      <c r="A19" s="13" t="s">
        <v>107</v>
      </c>
      <c r="B19" s="13" t="s">
        <v>156</v>
      </c>
      <c r="C19" s="13" t="s">
        <v>157</v>
      </c>
      <c r="D19" s="13" t="s">
        <v>158</v>
      </c>
      <c r="E19" s="83">
        <v>1.62368086E9</v>
      </c>
      <c r="F19" s="68">
        <f>IFERROR(__xludf.DUMMYFUNCTION("INDEX(SPLIT(E19, char(10)), 0, 1)/86400+date(1970,1,1)"),44361.6025462963)</f>
        <v>44361.60255</v>
      </c>
      <c r="G19" s="84" t="s">
        <v>2013</v>
      </c>
      <c r="H19" s="84" t="s">
        <v>2014</v>
      </c>
      <c r="I19" s="46" t="s">
        <v>11</v>
      </c>
    </row>
    <row r="20">
      <c r="A20" s="5" t="s">
        <v>4</v>
      </c>
      <c r="B20" s="5" t="s">
        <v>161</v>
      </c>
      <c r="C20" s="25">
        <v>1.0</v>
      </c>
      <c r="D20" s="79" t="b">
        <v>0</v>
      </c>
      <c r="E20" s="83">
        <v>1.62368101E9</v>
      </c>
      <c r="F20" s="68">
        <f>IFERROR(__xludf.DUMMYFUNCTION("INDEX(SPLIT(E20, char(10)), 0, 1)/86400+date(1970,1,1)"),44361.60428240741)</f>
        <v>44361.60428</v>
      </c>
      <c r="G20" s="84" t="s">
        <v>2015</v>
      </c>
      <c r="H20" s="84" t="s">
        <v>2016</v>
      </c>
      <c r="I20" s="46" t="s">
        <v>11</v>
      </c>
    </row>
    <row r="21">
      <c r="A21" s="5" t="s">
        <v>141</v>
      </c>
      <c r="B21" s="5" t="s">
        <v>1733</v>
      </c>
      <c r="C21" s="25">
        <v>42.0</v>
      </c>
      <c r="D21" s="79" t="b">
        <v>1</v>
      </c>
      <c r="E21" s="83">
        <v>1.623681422E9</v>
      </c>
      <c r="F21" s="68">
        <f>IFERROR(__xludf.DUMMYFUNCTION("INDEX(SPLIT(E21, char(10)), 0, 1)/86400+date(1970,1,1)"),44361.60905092592)</f>
        <v>44361.60905</v>
      </c>
      <c r="G21" s="84" t="s">
        <v>2017</v>
      </c>
      <c r="H21" s="84" t="s">
        <v>2018</v>
      </c>
      <c r="I21" s="46" t="s">
        <v>13</v>
      </c>
    </row>
    <row r="22">
      <c r="A22" s="5" t="s">
        <v>4</v>
      </c>
      <c r="B22" s="5" t="s">
        <v>167</v>
      </c>
      <c r="C22" s="25">
        <v>45.0</v>
      </c>
      <c r="D22" s="79" t="b">
        <v>1</v>
      </c>
      <c r="E22" s="83">
        <v>1.623681539E9</v>
      </c>
      <c r="F22" s="68">
        <f>IFERROR(__xludf.DUMMYFUNCTION("INDEX(SPLIT(E22, char(10)), 0, 1)/86400+date(1970,1,1)"),44361.61040509259)</f>
        <v>44361.61041</v>
      </c>
      <c r="G22" s="84" t="s">
        <v>2019</v>
      </c>
      <c r="H22" s="84" t="s">
        <v>2020</v>
      </c>
      <c r="I22" s="46" t="s">
        <v>13</v>
      </c>
    </row>
    <row r="23">
      <c r="A23" s="5" t="s">
        <v>4</v>
      </c>
      <c r="B23" s="5" t="s">
        <v>170</v>
      </c>
      <c r="C23" s="25">
        <v>46.0</v>
      </c>
      <c r="D23" s="79" t="b">
        <v>1</v>
      </c>
      <c r="E23" s="83">
        <v>1.623682186E9</v>
      </c>
      <c r="F23" s="68">
        <f>IFERROR(__xludf.DUMMYFUNCTION("INDEX(SPLIT(E23, char(10)), 0, 1)/86400+date(1970,1,1)"),44361.617893518516)</f>
        <v>44361.61789</v>
      </c>
      <c r="G23" s="84" t="s">
        <v>2021</v>
      </c>
      <c r="H23" s="84" t="s">
        <v>2022</v>
      </c>
      <c r="I23" s="46" t="s">
        <v>12</v>
      </c>
    </row>
    <row r="24">
      <c r="A24" s="5" t="s">
        <v>5</v>
      </c>
      <c r="B24" s="5" t="s">
        <v>1740</v>
      </c>
      <c r="C24" s="25">
        <v>46.0</v>
      </c>
      <c r="D24" s="79" t="b">
        <v>1</v>
      </c>
      <c r="E24" s="83">
        <v>1.623682447E9</v>
      </c>
      <c r="F24" s="68">
        <f>IFERROR(__xludf.DUMMYFUNCTION("INDEX(SPLIT(E24, char(10)), 0, 1)/86400+date(1970,1,1)"),44361.62091435185)</f>
        <v>44361.62091</v>
      </c>
      <c r="G24" s="84" t="s">
        <v>2023</v>
      </c>
      <c r="H24" s="84" t="s">
        <v>2024</v>
      </c>
      <c r="I24" s="46" t="s">
        <v>12</v>
      </c>
    </row>
    <row r="25">
      <c r="A25" s="5" t="s">
        <v>141</v>
      </c>
      <c r="B25" s="71" t="s">
        <v>1733</v>
      </c>
      <c r="C25" s="25">
        <v>52.0</v>
      </c>
      <c r="D25" s="79" t="b">
        <v>1</v>
      </c>
      <c r="E25" s="83">
        <v>1.623682563E9</v>
      </c>
      <c r="F25" s="68">
        <f>IFERROR(__xludf.DUMMYFUNCTION("INDEX(SPLIT(E25, char(10)), 0, 1)/86400+date(1970,1,1)"),44361.62225694444)</f>
        <v>44361.62226</v>
      </c>
      <c r="G25" s="84" t="s">
        <v>2025</v>
      </c>
      <c r="H25" s="84" t="s">
        <v>2026</v>
      </c>
      <c r="I25" s="46" t="s">
        <v>12</v>
      </c>
    </row>
    <row r="26">
      <c r="A26" s="5" t="s">
        <v>5</v>
      </c>
      <c r="B26" s="71" t="s">
        <v>1745</v>
      </c>
      <c r="C26" s="25">
        <v>67.0</v>
      </c>
      <c r="D26" s="79" t="b">
        <v>0</v>
      </c>
      <c r="E26" s="5"/>
      <c r="F26" s="76"/>
      <c r="G26" s="5"/>
      <c r="H26" s="5"/>
      <c r="I26" s="5"/>
    </row>
    <row r="27">
      <c r="A27" s="5" t="s">
        <v>5</v>
      </c>
      <c r="B27" s="71" t="s">
        <v>1748</v>
      </c>
      <c r="C27" s="25">
        <v>67.0</v>
      </c>
      <c r="D27" s="79" t="b">
        <v>0</v>
      </c>
      <c r="E27" s="5"/>
      <c r="F27" s="76"/>
      <c r="G27" s="5"/>
      <c r="H27" s="5"/>
      <c r="I27" s="5"/>
    </row>
    <row r="28">
      <c r="A28" s="5" t="s">
        <v>5</v>
      </c>
      <c r="B28" s="103" t="s">
        <v>1751</v>
      </c>
      <c r="C28" s="25">
        <v>67.0</v>
      </c>
      <c r="D28" s="79" t="b">
        <v>0</v>
      </c>
      <c r="E28" s="5"/>
      <c r="F28" s="76"/>
      <c r="G28" s="5"/>
      <c r="H28" s="5"/>
      <c r="I28" s="5"/>
    </row>
    <row r="29">
      <c r="A29" s="5" t="s">
        <v>5</v>
      </c>
      <c r="B29" s="71" t="s">
        <v>1754</v>
      </c>
      <c r="C29" s="25">
        <v>72.0</v>
      </c>
      <c r="D29" s="79" t="b">
        <v>0</v>
      </c>
      <c r="E29" s="71"/>
      <c r="F29" s="76"/>
      <c r="G29" s="5"/>
      <c r="H29" s="5"/>
      <c r="I29" s="5"/>
    </row>
    <row r="30">
      <c r="A30" s="5" t="s">
        <v>5</v>
      </c>
      <c r="B30" s="71" t="s">
        <v>1757</v>
      </c>
      <c r="C30" s="25">
        <v>72.0</v>
      </c>
      <c r="D30" s="79" t="b">
        <v>0</v>
      </c>
      <c r="E30" s="76"/>
      <c r="F30" s="76"/>
      <c r="G30" s="5"/>
      <c r="H30" s="5"/>
      <c r="I30" s="5"/>
    </row>
    <row r="31">
      <c r="A31" s="5" t="s">
        <v>5</v>
      </c>
      <c r="B31" s="71" t="s">
        <v>1760</v>
      </c>
      <c r="C31" s="25">
        <v>79.0</v>
      </c>
      <c r="D31" s="79" t="b">
        <v>1</v>
      </c>
      <c r="E31" s="71"/>
      <c r="F31" s="76"/>
      <c r="G31" s="5"/>
      <c r="H31" s="5"/>
      <c r="I31" s="5"/>
    </row>
    <row r="32">
      <c r="A32" s="5" t="s">
        <v>5</v>
      </c>
      <c r="B32" s="71" t="s">
        <v>1763</v>
      </c>
      <c r="C32" s="25">
        <v>79.0</v>
      </c>
      <c r="D32" s="79" t="b">
        <v>1</v>
      </c>
      <c r="E32" s="71"/>
      <c r="F32" s="76"/>
      <c r="G32" s="5"/>
      <c r="H32" s="5"/>
      <c r="I32" s="5"/>
    </row>
    <row r="33">
      <c r="A33" s="5" t="s">
        <v>5</v>
      </c>
      <c r="B33" s="71" t="s">
        <v>1766</v>
      </c>
      <c r="C33" s="25">
        <v>87.0</v>
      </c>
      <c r="D33" s="79" t="b">
        <v>0</v>
      </c>
      <c r="E33" s="71"/>
      <c r="F33" s="76"/>
      <c r="G33" s="5"/>
      <c r="H33" s="5"/>
      <c r="I33" s="5"/>
    </row>
    <row r="34">
      <c r="A34" s="5" t="s">
        <v>5</v>
      </c>
      <c r="B34" s="71" t="s">
        <v>1769</v>
      </c>
      <c r="C34" s="25">
        <v>87.0</v>
      </c>
      <c r="D34" s="79" t="b">
        <v>0</v>
      </c>
      <c r="E34" s="71"/>
      <c r="F34" s="76"/>
      <c r="G34" s="5"/>
      <c r="H34" s="5"/>
      <c r="I34" s="5"/>
    </row>
    <row r="35">
      <c r="A35" s="5" t="s">
        <v>4</v>
      </c>
      <c r="B35" s="71" t="s">
        <v>195</v>
      </c>
      <c r="C35" s="25">
        <v>90.0</v>
      </c>
      <c r="D35" s="79" t="b">
        <v>0</v>
      </c>
      <c r="E35" s="71"/>
      <c r="F35" s="76"/>
      <c r="G35" s="5"/>
      <c r="H35" s="5"/>
      <c r="I35" s="5"/>
    </row>
    <row r="36">
      <c r="B36" s="97"/>
      <c r="E36" s="97"/>
      <c r="F36" s="98"/>
      <c r="H36" s="5"/>
      <c r="I36" s="52"/>
    </row>
    <row r="37">
      <c r="F37" s="98"/>
      <c r="H37" s="5"/>
      <c r="I37" s="52"/>
    </row>
    <row r="38">
      <c r="F38" s="98"/>
      <c r="H38" s="5"/>
      <c r="I38" s="52"/>
    </row>
    <row r="39">
      <c r="F39" s="98"/>
      <c r="H39" s="5"/>
      <c r="I39" s="52"/>
    </row>
    <row r="40">
      <c r="F40" s="98"/>
      <c r="H40" s="5"/>
      <c r="I40" s="52"/>
    </row>
    <row r="41">
      <c r="F41" s="98"/>
      <c r="H41" s="5"/>
      <c r="I41" s="52"/>
    </row>
    <row r="42">
      <c r="A42" s="46"/>
      <c r="B42" s="46"/>
      <c r="C42" s="77"/>
      <c r="D42" s="46"/>
      <c r="F42" s="98"/>
      <c r="H42" s="5"/>
      <c r="I42" s="52"/>
    </row>
    <row r="43">
      <c r="A43" s="46"/>
      <c r="B43" s="46"/>
      <c r="C43" s="46"/>
      <c r="D43" s="46"/>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2</v>
      </c>
      <c r="D2" s="17">
        <f t="shared" ref="D2:D6" si="2">C2/COUNTA(I$2:I1000)</f>
        <v>0.04651162791</v>
      </c>
      <c r="E2" s="67">
        <v>1.62410762E9</v>
      </c>
      <c r="F2" s="68">
        <f>IFERROR(__xludf.DUMMYFUNCTION("INDEX(SPLIT(E2, char(10)), 0, 1)/86400+date(1970,1,1)"),44366.54189814815)</f>
        <v>44366.5419</v>
      </c>
      <c r="G2" s="7" t="s">
        <v>2027</v>
      </c>
      <c r="H2" s="46" t="s">
        <v>2028</v>
      </c>
      <c r="I2" s="7" t="s">
        <v>12</v>
      </c>
    </row>
    <row r="3">
      <c r="A3" s="5" t="s">
        <v>11</v>
      </c>
      <c r="B3" s="5" t="s">
        <v>111</v>
      </c>
      <c r="C3" s="25">
        <f t="shared" si="1"/>
        <v>12</v>
      </c>
      <c r="D3" s="17">
        <f t="shared" si="2"/>
        <v>0.2790697674</v>
      </c>
      <c r="E3" s="67">
        <v>1.624107724E9</v>
      </c>
      <c r="F3" s="68">
        <f>IFERROR(__xludf.DUMMYFUNCTION("INDEX(SPLIT(E3, char(10)), 0, 1)/86400+date(1970,1,1)"),44366.54310185185)</f>
        <v>44366.5431</v>
      </c>
      <c r="G3" s="7" t="s">
        <v>2029</v>
      </c>
      <c r="H3" s="46" t="s">
        <v>2030</v>
      </c>
      <c r="I3" s="7" t="s">
        <v>14</v>
      </c>
    </row>
    <row r="4">
      <c r="A4" s="5" t="s">
        <v>12</v>
      </c>
      <c r="B4" s="5" t="s">
        <v>114</v>
      </c>
      <c r="C4" s="25">
        <f t="shared" si="1"/>
        <v>11</v>
      </c>
      <c r="D4" s="17">
        <f t="shared" si="2"/>
        <v>0.2558139535</v>
      </c>
      <c r="E4" s="67">
        <v>1.624108126E9</v>
      </c>
      <c r="F4" s="68">
        <f>IFERROR(__xludf.DUMMYFUNCTION("INDEX(SPLIT(E4, char(10)), 0, 1)/86400+date(1970,1,1)"),44366.54775462963)</f>
        <v>44366.54775</v>
      </c>
      <c r="G4" s="7" t="s">
        <v>2031</v>
      </c>
      <c r="H4" s="46" t="s">
        <v>2032</v>
      </c>
      <c r="I4" s="46" t="s">
        <v>12</v>
      </c>
    </row>
    <row r="5">
      <c r="A5" s="5" t="s">
        <v>13</v>
      </c>
      <c r="B5" s="5" t="s">
        <v>117</v>
      </c>
      <c r="C5" s="25">
        <f t="shared" si="1"/>
        <v>8</v>
      </c>
      <c r="D5" s="17">
        <f t="shared" si="2"/>
        <v>0.1860465116</v>
      </c>
      <c r="E5" s="67">
        <v>1.624108217E9</v>
      </c>
      <c r="F5" s="68">
        <f>IFERROR(__xludf.DUMMYFUNCTION("INDEX(SPLIT(E5, char(10)), 0, 1)/86400+date(1970,1,1)"),44366.54880787037)</f>
        <v>44366.54881</v>
      </c>
      <c r="G5" s="7" t="s">
        <v>2033</v>
      </c>
      <c r="H5" s="46" t="s">
        <v>2034</v>
      </c>
      <c r="I5" s="7" t="s">
        <v>13</v>
      </c>
    </row>
    <row r="6">
      <c r="A6" s="5" t="s">
        <v>14</v>
      </c>
      <c r="B6" s="5" t="s">
        <v>120</v>
      </c>
      <c r="C6" s="25">
        <f t="shared" si="1"/>
        <v>10</v>
      </c>
      <c r="D6" s="17">
        <f t="shared" si="2"/>
        <v>0.2325581395</v>
      </c>
      <c r="E6" s="67">
        <v>1.624108428E9</v>
      </c>
      <c r="F6" s="68">
        <f>IFERROR(__xludf.DUMMYFUNCTION("INDEX(SPLIT(E6, char(10)), 0, 1)/86400+date(1970,1,1)"),44366.551250000004)</f>
        <v>44366.55125</v>
      </c>
      <c r="G6" s="7" t="s">
        <v>2035</v>
      </c>
      <c r="H6" s="46" t="s">
        <v>2036</v>
      </c>
      <c r="I6" s="7" t="s">
        <v>14</v>
      </c>
    </row>
    <row r="7">
      <c r="A7" s="5"/>
      <c r="B7" s="5" t="s">
        <v>10</v>
      </c>
      <c r="C7" s="23">
        <f t="shared" ref="C7:D7" si="3">SUM(C2:C6)</f>
        <v>43</v>
      </c>
      <c r="D7" s="70">
        <f t="shared" si="3"/>
        <v>1</v>
      </c>
      <c r="E7" s="67">
        <v>1.624108647E9</v>
      </c>
      <c r="F7" s="68">
        <f>IFERROR(__xludf.DUMMYFUNCTION("INDEX(SPLIT(E7, char(10)), 0, 1)/86400+date(1970,1,1)"),44366.55378472222)</f>
        <v>44366.55378</v>
      </c>
      <c r="G7" s="7" t="s">
        <v>2037</v>
      </c>
      <c r="H7" s="46" t="s">
        <v>2038</v>
      </c>
      <c r="I7" s="7" t="s">
        <v>14</v>
      </c>
    </row>
    <row r="8">
      <c r="A8" s="71"/>
      <c r="B8" s="5" t="s">
        <v>15</v>
      </c>
      <c r="C8" s="25">
        <f t="shared" ref="C8:D8" si="4">SUM(C5:C6)</f>
        <v>18</v>
      </c>
      <c r="D8" s="17">
        <f t="shared" si="4"/>
        <v>0.4186046512</v>
      </c>
      <c r="E8" s="67">
        <v>1.624108769E9</v>
      </c>
      <c r="F8" s="68">
        <f>IFERROR(__xludf.DUMMYFUNCTION("INDEX(SPLIT(E8, char(10)), 0, 1)/86400+date(1970,1,1)"),44366.55519675926)</f>
        <v>44366.5552</v>
      </c>
      <c r="G8" s="7" t="s">
        <v>2039</v>
      </c>
      <c r="H8" s="46" t="s">
        <v>2040</v>
      </c>
      <c r="I8" s="7" t="s">
        <v>11</v>
      </c>
    </row>
    <row r="9">
      <c r="A9" s="71"/>
      <c r="B9" s="5" t="s">
        <v>127</v>
      </c>
      <c r="C9" s="25">
        <f>SUM(C6:C7)</f>
        <v>53</v>
      </c>
      <c r="D9" s="17">
        <f>SUM(D5:D6) + D2</f>
        <v>0.4651162791</v>
      </c>
      <c r="E9" s="67">
        <v>1.624108992E9</v>
      </c>
      <c r="F9" s="68">
        <f>IFERROR(__xludf.DUMMYFUNCTION("INDEX(SPLIT(E9, char(10)), 0, 1)/86400+date(1970,1,1)"),44366.55777777778)</f>
        <v>44366.55778</v>
      </c>
      <c r="G9" s="7" t="s">
        <v>2041</v>
      </c>
      <c r="H9" s="46" t="s">
        <v>2042</v>
      </c>
      <c r="I9" s="7" t="s">
        <v>11</v>
      </c>
    </row>
    <row r="10">
      <c r="A10" s="71"/>
      <c r="B10" s="71"/>
      <c r="C10" s="71"/>
      <c r="D10" s="71"/>
      <c r="E10" s="67">
        <v>1.624109146E9</v>
      </c>
      <c r="F10" s="68">
        <f>IFERROR(__xludf.DUMMYFUNCTION("INDEX(SPLIT(E10, char(10)), 0, 1)/86400+date(1970,1,1)"),44366.55956018518)</f>
        <v>44366.55956</v>
      </c>
      <c r="G10" s="7" t="s">
        <v>2043</v>
      </c>
      <c r="H10" s="46" t="s">
        <v>2044</v>
      </c>
      <c r="I10" s="7" t="s">
        <v>13</v>
      </c>
    </row>
    <row r="11">
      <c r="A11" s="71"/>
      <c r="B11" s="71"/>
      <c r="C11" s="88"/>
      <c r="D11" s="71"/>
      <c r="E11" s="67">
        <v>1.624109435E9</v>
      </c>
      <c r="F11" s="68">
        <f>IFERROR(__xludf.DUMMYFUNCTION("INDEX(SPLIT(E11, char(10)), 0, 1)/86400+date(1970,1,1)"),44366.56290509259)</f>
        <v>44366.56291</v>
      </c>
      <c r="G11" s="7" t="s">
        <v>2045</v>
      </c>
      <c r="H11" s="46" t="s">
        <v>2046</v>
      </c>
      <c r="I11" s="7" t="s">
        <v>11</v>
      </c>
    </row>
    <row r="12">
      <c r="A12" s="13" t="s">
        <v>134</v>
      </c>
      <c r="B12" s="102" t="s">
        <v>2047</v>
      </c>
      <c r="C12" s="88"/>
      <c r="D12" s="71"/>
      <c r="E12" s="67">
        <v>1.624109525E9</v>
      </c>
      <c r="F12" s="68">
        <f>IFERROR(__xludf.DUMMYFUNCTION("INDEX(SPLIT(E12, char(10)), 0, 1)/86400+date(1970,1,1)"),44366.563946759255)</f>
        <v>44366.56395</v>
      </c>
      <c r="G12" s="7" t="s">
        <v>2048</v>
      </c>
      <c r="H12" s="46" t="s">
        <v>2049</v>
      </c>
      <c r="I12" s="7" t="s">
        <v>14</v>
      </c>
    </row>
    <row r="13">
      <c r="A13" s="13" t="s">
        <v>138</v>
      </c>
      <c r="B13" s="71"/>
      <c r="C13" s="13" t="s">
        <v>101</v>
      </c>
      <c r="D13" s="13" t="s">
        <v>102</v>
      </c>
      <c r="E13" s="67">
        <v>1.624109625E9</v>
      </c>
      <c r="F13" s="68">
        <f>IFERROR(__xludf.DUMMYFUNCTION("INDEX(SPLIT(E13, char(10)), 0, 1)/86400+date(1970,1,1)"),44366.56510416667)</f>
        <v>44366.5651</v>
      </c>
      <c r="G13" s="7" t="s">
        <v>2050</v>
      </c>
      <c r="H13" s="46" t="s">
        <v>2051</v>
      </c>
      <c r="I13" s="7" t="s">
        <v>11</v>
      </c>
    </row>
    <row r="14">
      <c r="A14" s="5" t="s">
        <v>141</v>
      </c>
      <c r="B14" s="5" t="s">
        <v>142</v>
      </c>
      <c r="C14" s="23">
        <f t="shared" ref="C14:C17" si="5">COUNTIF($A$19:$A1000, A14)</f>
        <v>2</v>
      </c>
      <c r="D14" s="17">
        <f>IFERROR(__xludf.DUMMYFUNCTION("IF(C14, COUNTIF(FILTER($D$19:$D1000, $A$19:$A1000=A14), TRUE)/C14, 0)"),1.0)</f>
        <v>1</v>
      </c>
      <c r="E14" s="67">
        <v>1.624109753E9</v>
      </c>
      <c r="F14" s="68">
        <f>IFERROR(__xludf.DUMMYFUNCTION("INDEX(SPLIT(E14, char(10)), 0, 1)/86400+date(1970,1,1)"),44366.56658564815)</f>
        <v>44366.56659</v>
      </c>
      <c r="G14" s="7" t="s">
        <v>2052</v>
      </c>
      <c r="H14" s="46" t="s">
        <v>2053</v>
      </c>
      <c r="I14" s="7" t="s">
        <v>12</v>
      </c>
    </row>
    <row r="15">
      <c r="A15" s="5" t="s">
        <v>3</v>
      </c>
      <c r="B15" s="5" t="s">
        <v>145</v>
      </c>
      <c r="C15" s="23">
        <f t="shared" si="5"/>
        <v>2</v>
      </c>
      <c r="D15" s="17">
        <f>IFERROR(__xludf.DUMMYFUNCTION("IF(C15, COUNTIF(FILTER($D$19:$D1000, $A$19:$A1000=A15), TRUE)/C15, 0)"),0.5)</f>
        <v>0.5</v>
      </c>
      <c r="E15" s="67">
        <v>1.624109889E9</v>
      </c>
      <c r="F15" s="68">
        <f>IFERROR(__xludf.DUMMYFUNCTION("INDEX(SPLIT(E15, char(10)), 0, 1)/86400+date(1970,1,1)"),44366.56815972222)</f>
        <v>44366.56816</v>
      </c>
      <c r="G15" s="7" t="s">
        <v>2054</v>
      </c>
      <c r="H15" s="46" t="s">
        <v>2055</v>
      </c>
      <c r="I15" s="7" t="s">
        <v>12</v>
      </c>
    </row>
    <row r="16">
      <c r="A16" s="5" t="s">
        <v>4</v>
      </c>
      <c r="B16" s="5" t="s">
        <v>148</v>
      </c>
      <c r="C16" s="23">
        <f t="shared" si="5"/>
        <v>4</v>
      </c>
      <c r="D16" s="17">
        <f>IFERROR(__xludf.DUMMYFUNCTION("IF(C16, COUNTIF(FILTER($D$19:$D1000, $A$19:$A1000=A16), TRUE)/C16, 0)"),0.25)</f>
        <v>0.25</v>
      </c>
      <c r="E16" s="67">
        <v>1.62411021E9</v>
      </c>
      <c r="F16" s="68">
        <f>IFERROR(__xludf.DUMMYFUNCTION("INDEX(SPLIT(E16, char(10)), 0, 1)/86400+date(1970,1,1)"),44366.571875)</f>
        <v>44366.57188</v>
      </c>
      <c r="G16" s="7" t="s">
        <v>2056</v>
      </c>
      <c r="H16" s="46" t="s">
        <v>2057</v>
      </c>
      <c r="I16" s="7" t="s">
        <v>12</v>
      </c>
    </row>
    <row r="17">
      <c r="A17" s="5" t="s">
        <v>5</v>
      </c>
      <c r="B17" s="5" t="s">
        <v>151</v>
      </c>
      <c r="C17" s="23">
        <f t="shared" si="5"/>
        <v>7</v>
      </c>
      <c r="D17" s="17">
        <f>IFERROR(__xludf.DUMMYFUNCTION("IF(C17, COUNTIF(FILTER($D$19:$D1000, $A$19:$A1000=A17), TRUE)/C17, 0)"),0.7142857142857143)</f>
        <v>0.7142857143</v>
      </c>
      <c r="E17" s="67">
        <v>1.624110416E9</v>
      </c>
      <c r="F17" s="68">
        <f>IFERROR(__xludf.DUMMYFUNCTION("INDEX(SPLIT(E17, char(10)), 0, 1)/86400+date(1970,1,1)"),44366.57425925926)</f>
        <v>44366.57426</v>
      </c>
      <c r="G17" s="7" t="s">
        <v>2058</v>
      </c>
      <c r="H17" s="46" t="s">
        <v>2059</v>
      </c>
      <c r="I17" s="7" t="s">
        <v>13</v>
      </c>
    </row>
    <row r="18">
      <c r="A18" s="71"/>
      <c r="B18" s="13" t="s">
        <v>6</v>
      </c>
      <c r="C18" s="23">
        <f>SUM(C14:C17)</f>
        <v>15</v>
      </c>
      <c r="D18" s="17">
        <f>COUNTIF($D$19:$D1000, TRUE)/SUM($C$14:$C$17)</f>
        <v>0.6</v>
      </c>
      <c r="E18" s="67">
        <v>1.624110507E9</v>
      </c>
      <c r="F18" s="68">
        <f>IFERROR(__xludf.DUMMYFUNCTION("INDEX(SPLIT(E18, char(10)), 0, 1)/86400+date(1970,1,1)"),44366.575312500005)</f>
        <v>44366.57531</v>
      </c>
      <c r="G18" s="7" t="s">
        <v>2060</v>
      </c>
      <c r="H18" s="46" t="s">
        <v>2061</v>
      </c>
      <c r="I18" s="7" t="s">
        <v>14</v>
      </c>
    </row>
    <row r="19">
      <c r="A19" s="13" t="s">
        <v>107</v>
      </c>
      <c r="B19" s="13" t="s">
        <v>156</v>
      </c>
      <c r="C19" s="13" t="s">
        <v>157</v>
      </c>
      <c r="D19" s="13" t="s">
        <v>158</v>
      </c>
      <c r="E19" s="67">
        <v>1.624110609E9</v>
      </c>
      <c r="F19" s="68">
        <f>IFERROR(__xludf.DUMMYFUNCTION("INDEX(SPLIT(E19, char(10)), 0, 1)/86400+date(1970,1,1)"),44366.57649305556)</f>
        <v>44366.57649</v>
      </c>
      <c r="G19" s="7" t="s">
        <v>2062</v>
      </c>
      <c r="H19" s="46" t="s">
        <v>2063</v>
      </c>
      <c r="I19" s="7" t="s">
        <v>11</v>
      </c>
    </row>
    <row r="20">
      <c r="A20" s="5" t="s">
        <v>4</v>
      </c>
      <c r="B20" s="5" t="s">
        <v>161</v>
      </c>
      <c r="C20" s="25">
        <v>1.0</v>
      </c>
      <c r="D20" s="96" t="b">
        <v>0</v>
      </c>
      <c r="E20" s="67">
        <v>1.624110699E9</v>
      </c>
      <c r="F20" s="68">
        <f>IFERROR(__xludf.DUMMYFUNCTION("INDEX(SPLIT(E20, char(10)), 0, 1)/86400+date(1970,1,1)"),44366.57753472222)</f>
        <v>44366.57753</v>
      </c>
      <c r="G20" s="7" t="s">
        <v>2064</v>
      </c>
      <c r="H20" s="46" t="s">
        <v>2065</v>
      </c>
      <c r="I20" s="7" t="s">
        <v>11</v>
      </c>
    </row>
    <row r="21">
      <c r="A21" s="5" t="s">
        <v>3</v>
      </c>
      <c r="B21" s="5" t="s">
        <v>2066</v>
      </c>
      <c r="C21" s="25">
        <v>10.0</v>
      </c>
      <c r="D21" s="96" t="b">
        <v>1</v>
      </c>
      <c r="E21" s="67">
        <v>1.624110818E9</v>
      </c>
      <c r="F21" s="68">
        <f>IFERROR(__xludf.DUMMYFUNCTION("INDEX(SPLIT(E21, char(10)), 0, 1)/86400+date(1970,1,1)"),44366.57891203703)</f>
        <v>44366.57891</v>
      </c>
      <c r="G21" s="7" t="s">
        <v>2067</v>
      </c>
      <c r="H21" s="46" t="s">
        <v>2068</v>
      </c>
      <c r="I21" s="7" t="s">
        <v>12</v>
      </c>
    </row>
    <row r="22">
      <c r="A22" s="5" t="s">
        <v>5</v>
      </c>
      <c r="B22" s="5" t="s">
        <v>2069</v>
      </c>
      <c r="C22" s="25">
        <v>26.0</v>
      </c>
      <c r="D22" s="96" t="b">
        <v>1</v>
      </c>
      <c r="E22" s="67">
        <v>1.62411104E9</v>
      </c>
      <c r="F22" s="68">
        <f>IFERROR(__xludf.DUMMYFUNCTION("INDEX(SPLIT(E22, char(10)), 0, 1)/86400+date(1970,1,1)"),44366.58148148148)</f>
        <v>44366.58148</v>
      </c>
      <c r="G22" s="7" t="s">
        <v>2070</v>
      </c>
      <c r="H22" s="46" t="s">
        <v>2071</v>
      </c>
      <c r="I22" s="7" t="s">
        <v>11</v>
      </c>
    </row>
    <row r="23">
      <c r="A23" s="5" t="s">
        <v>141</v>
      </c>
      <c r="B23" s="5" t="s">
        <v>2072</v>
      </c>
      <c r="C23" s="25">
        <v>45.0</v>
      </c>
      <c r="D23" s="96" t="b">
        <v>1</v>
      </c>
      <c r="E23" s="67">
        <v>1.624111553E9</v>
      </c>
      <c r="F23" s="68">
        <f>IFERROR(__xludf.DUMMYFUNCTION("INDEX(SPLIT(E23, char(10)), 0, 1)/86400+date(1970,1,1)"),44366.58741898148)</f>
        <v>44366.58742</v>
      </c>
      <c r="G23" s="7" t="s">
        <v>2073</v>
      </c>
      <c r="H23" s="46" t="s">
        <v>2074</v>
      </c>
      <c r="I23" s="7" t="s">
        <v>12</v>
      </c>
    </row>
    <row r="24">
      <c r="A24" s="5" t="s">
        <v>4</v>
      </c>
      <c r="B24" s="5" t="s">
        <v>167</v>
      </c>
      <c r="C24" s="25">
        <v>45.0</v>
      </c>
      <c r="D24" s="96" t="b">
        <v>0</v>
      </c>
      <c r="E24" s="67">
        <v>1.624111705E9</v>
      </c>
      <c r="F24" s="68">
        <f>IFERROR(__xludf.DUMMYFUNCTION("INDEX(SPLIT(E24, char(10)), 0, 1)/86400+date(1970,1,1)"),44366.58917824074)</f>
        <v>44366.58918</v>
      </c>
      <c r="G24" s="7" t="s">
        <v>2075</v>
      </c>
      <c r="H24" s="46" t="s">
        <v>2076</v>
      </c>
      <c r="I24" s="7" t="s">
        <v>93</v>
      </c>
    </row>
    <row r="25">
      <c r="A25" s="5" t="s">
        <v>4</v>
      </c>
      <c r="B25" s="71" t="s">
        <v>170</v>
      </c>
      <c r="C25" s="25">
        <v>46.0</v>
      </c>
      <c r="D25" s="96" t="b">
        <v>0</v>
      </c>
      <c r="E25" s="67">
        <v>1.6241118E9</v>
      </c>
      <c r="F25" s="68">
        <f>IFERROR(__xludf.DUMMYFUNCTION("INDEX(SPLIT(E25, char(10)), 0, 1)/86400+date(1970,1,1)"),44366.59027777778)</f>
        <v>44366.59028</v>
      </c>
      <c r="G25" s="7" t="s">
        <v>2077</v>
      </c>
      <c r="H25" s="46" t="s">
        <v>2078</v>
      </c>
      <c r="I25" s="7" t="s">
        <v>12</v>
      </c>
    </row>
    <row r="26">
      <c r="A26" s="5" t="s">
        <v>3</v>
      </c>
      <c r="B26" s="71" t="s">
        <v>2079</v>
      </c>
      <c r="C26" s="25">
        <v>52.0</v>
      </c>
      <c r="D26" s="96" t="b">
        <v>0</v>
      </c>
      <c r="E26" s="67">
        <v>1.624111961E9</v>
      </c>
      <c r="F26" s="68">
        <f>IFERROR(__xludf.DUMMYFUNCTION("INDEX(SPLIT(E26, char(10)), 0, 1)/86400+date(1970,1,1)"),44366.5921412037)</f>
        <v>44366.59214</v>
      </c>
      <c r="G26" s="7" t="s">
        <v>2080</v>
      </c>
      <c r="H26" s="46" t="s">
        <v>2081</v>
      </c>
      <c r="I26" s="7" t="s">
        <v>11</v>
      </c>
    </row>
    <row r="27">
      <c r="A27" s="5" t="s">
        <v>5</v>
      </c>
      <c r="B27" s="71" t="s">
        <v>2082</v>
      </c>
      <c r="C27" s="25">
        <v>57.0</v>
      </c>
      <c r="D27" s="96" t="b">
        <v>1</v>
      </c>
      <c r="E27" s="67">
        <v>1.624112223E9</v>
      </c>
      <c r="F27" s="68">
        <f>IFERROR(__xludf.DUMMYFUNCTION("INDEX(SPLIT(E27, char(10)), 0, 1)/86400+date(1970,1,1)"),44366.59517361112)</f>
        <v>44366.59517</v>
      </c>
      <c r="G27" s="7" t="s">
        <v>2083</v>
      </c>
      <c r="H27" s="46" t="s">
        <v>2084</v>
      </c>
      <c r="I27" s="7" t="s">
        <v>13</v>
      </c>
    </row>
    <row r="28">
      <c r="A28" s="5" t="s">
        <v>141</v>
      </c>
      <c r="B28" s="71" t="s">
        <v>2085</v>
      </c>
      <c r="C28" s="25">
        <v>66.0</v>
      </c>
      <c r="D28" s="96" t="b">
        <v>1</v>
      </c>
      <c r="E28" s="67">
        <v>1.624112322E9</v>
      </c>
      <c r="F28" s="68">
        <f>IFERROR(__xludf.DUMMYFUNCTION("INDEX(SPLIT(E28, char(10)), 0, 1)/86400+date(1970,1,1)"),44366.59631944445)</f>
        <v>44366.59632</v>
      </c>
      <c r="G28" s="7" t="s">
        <v>2086</v>
      </c>
      <c r="H28" s="46" t="s">
        <v>2087</v>
      </c>
      <c r="I28" s="7" t="s">
        <v>12</v>
      </c>
    </row>
    <row r="29">
      <c r="A29" s="5" t="s">
        <v>5</v>
      </c>
      <c r="B29" s="71" t="s">
        <v>2088</v>
      </c>
      <c r="C29" s="25">
        <v>75.0</v>
      </c>
      <c r="D29" s="96" t="b">
        <v>0</v>
      </c>
      <c r="E29" s="67">
        <v>1.624112448E9</v>
      </c>
      <c r="F29" s="68">
        <f>IFERROR(__xludf.DUMMYFUNCTION("INDEX(SPLIT(E29, char(10)), 0, 1)/86400+date(1970,1,1)"),44366.59777777777)</f>
        <v>44366.59778</v>
      </c>
      <c r="G29" s="7" t="s">
        <v>2089</v>
      </c>
      <c r="H29" s="46" t="s">
        <v>2090</v>
      </c>
      <c r="I29" s="7" t="s">
        <v>12</v>
      </c>
    </row>
    <row r="30">
      <c r="A30" s="5" t="s">
        <v>5</v>
      </c>
      <c r="B30" s="71" t="s">
        <v>2091</v>
      </c>
      <c r="C30" s="25">
        <v>76.0</v>
      </c>
      <c r="D30" s="96" t="b">
        <v>1</v>
      </c>
      <c r="E30" s="67">
        <v>1.624112642E9</v>
      </c>
      <c r="F30" s="68">
        <f>IFERROR(__xludf.DUMMYFUNCTION("INDEX(SPLIT(E30, char(10)), 0, 1)/86400+date(1970,1,1)"),44366.600023148145)</f>
        <v>44366.60002</v>
      </c>
      <c r="G30" s="7" t="s">
        <v>2092</v>
      </c>
      <c r="H30" s="46" t="s">
        <v>2093</v>
      </c>
      <c r="I30" s="7" t="s">
        <v>11</v>
      </c>
    </row>
    <row r="31">
      <c r="A31" s="5" t="s">
        <v>5</v>
      </c>
      <c r="B31" s="71" t="s">
        <v>2094</v>
      </c>
      <c r="C31" s="25">
        <v>76.0</v>
      </c>
      <c r="D31" s="96" t="b">
        <v>1</v>
      </c>
      <c r="E31" s="67">
        <v>1.624112796E9</v>
      </c>
      <c r="F31" s="68">
        <f>IFERROR(__xludf.DUMMYFUNCTION("INDEX(SPLIT(E31, char(10)), 0, 1)/86400+date(1970,1,1)"),44366.601805555554)</f>
        <v>44366.60181</v>
      </c>
      <c r="G31" s="7" t="s">
        <v>2095</v>
      </c>
      <c r="H31" s="46" t="s">
        <v>2096</v>
      </c>
      <c r="I31" s="7" t="s">
        <v>13</v>
      </c>
    </row>
    <row r="32">
      <c r="A32" s="5" t="s">
        <v>5</v>
      </c>
      <c r="B32" s="71" t="s">
        <v>2097</v>
      </c>
      <c r="C32" s="25">
        <v>84.0</v>
      </c>
      <c r="D32" s="96" t="b">
        <v>0</v>
      </c>
      <c r="E32" s="67">
        <v>1.624112886E9</v>
      </c>
      <c r="F32" s="68">
        <f>IFERROR(__xludf.DUMMYFUNCTION("INDEX(SPLIT(E32, char(10)), 0, 1)/86400+date(1970,1,1)"),44366.602847222224)</f>
        <v>44366.60285</v>
      </c>
      <c r="G32" s="7" t="s">
        <v>2098</v>
      </c>
      <c r="H32" s="46" t="s">
        <v>2099</v>
      </c>
      <c r="I32" s="7" t="s">
        <v>14</v>
      </c>
    </row>
    <row r="33">
      <c r="A33" s="5" t="s">
        <v>5</v>
      </c>
      <c r="B33" s="71" t="s">
        <v>2100</v>
      </c>
      <c r="C33" s="25">
        <v>87.0</v>
      </c>
      <c r="D33" s="96" t="b">
        <v>1</v>
      </c>
      <c r="E33" s="67">
        <v>1.624113028E9</v>
      </c>
      <c r="F33" s="68">
        <f>IFERROR(__xludf.DUMMYFUNCTION("INDEX(SPLIT(E33, char(10)), 0, 1)/86400+date(1970,1,1)"),44366.60449074074)</f>
        <v>44366.60449</v>
      </c>
      <c r="G33" s="7" t="s">
        <v>2101</v>
      </c>
      <c r="H33" s="46" t="s">
        <v>2102</v>
      </c>
      <c r="I33" s="7" t="s">
        <v>11</v>
      </c>
    </row>
    <row r="34">
      <c r="A34" s="5" t="s">
        <v>4</v>
      </c>
      <c r="B34" s="71" t="s">
        <v>195</v>
      </c>
      <c r="C34" s="25">
        <v>90.0</v>
      </c>
      <c r="D34" s="96" t="b">
        <v>1</v>
      </c>
      <c r="E34" s="67">
        <v>1.624113146E9</v>
      </c>
      <c r="F34" s="68">
        <f>IFERROR(__xludf.DUMMYFUNCTION("INDEX(SPLIT(E34, char(10)), 0, 1)/86400+date(1970,1,1)"),44366.60585648148)</f>
        <v>44366.60586</v>
      </c>
      <c r="G34" s="7" t="s">
        <v>2103</v>
      </c>
      <c r="H34" s="46" t="s">
        <v>2104</v>
      </c>
      <c r="I34" s="7" t="s">
        <v>11</v>
      </c>
    </row>
    <row r="35">
      <c r="A35" s="5"/>
      <c r="B35" s="71"/>
      <c r="C35" s="25"/>
      <c r="D35" s="5"/>
      <c r="E35" s="67">
        <v>1.624113346E9</v>
      </c>
      <c r="F35" s="68">
        <f>IFERROR(__xludf.DUMMYFUNCTION("INDEX(SPLIT(E35, char(10)), 0, 1)/86400+date(1970,1,1)"),44366.60817129629)</f>
        <v>44366.60817</v>
      </c>
      <c r="G35" s="7" t="s">
        <v>2105</v>
      </c>
      <c r="H35" s="46" t="s">
        <v>2106</v>
      </c>
      <c r="I35" s="7" t="s">
        <v>13</v>
      </c>
    </row>
    <row r="36">
      <c r="A36" s="5"/>
      <c r="B36" s="71"/>
      <c r="C36" s="25"/>
      <c r="D36" s="5"/>
      <c r="E36" s="67">
        <v>1.624113474E9</v>
      </c>
      <c r="F36" s="68">
        <f>IFERROR(__xludf.DUMMYFUNCTION("INDEX(SPLIT(E36, char(10)), 0, 1)/86400+date(1970,1,1)"),44366.60965277778)</f>
        <v>44366.60965</v>
      </c>
      <c r="G36" s="7" t="s">
        <v>2107</v>
      </c>
      <c r="H36" s="46" t="s">
        <v>2108</v>
      </c>
      <c r="I36" s="7" t="s">
        <v>11</v>
      </c>
    </row>
    <row r="37">
      <c r="A37" s="5"/>
      <c r="B37" s="71"/>
      <c r="C37" s="25"/>
      <c r="D37" s="5"/>
      <c r="E37" s="67">
        <v>1.624113604E9</v>
      </c>
      <c r="F37" s="68">
        <f>IFERROR(__xludf.DUMMYFUNCTION("INDEX(SPLIT(E37, char(10)), 0, 1)/86400+date(1970,1,1)"),44366.6111574074)</f>
        <v>44366.61116</v>
      </c>
      <c r="G37" s="7" t="s">
        <v>2109</v>
      </c>
      <c r="H37" s="46" t="s">
        <v>2110</v>
      </c>
      <c r="I37" s="7" t="s">
        <v>14</v>
      </c>
    </row>
    <row r="38">
      <c r="A38" s="5"/>
      <c r="B38" s="71"/>
      <c r="C38" s="25"/>
      <c r="D38" s="5"/>
      <c r="E38" s="67">
        <v>1.624113717E9</v>
      </c>
      <c r="F38" s="68">
        <f>IFERROR(__xludf.DUMMYFUNCTION("INDEX(SPLIT(E38, char(10)), 0, 1)/86400+date(1970,1,1)"),44366.61246527778)</f>
        <v>44366.61247</v>
      </c>
      <c r="G38" s="7" t="s">
        <v>2111</v>
      </c>
      <c r="H38" s="46" t="s">
        <v>2112</v>
      </c>
      <c r="I38" s="7" t="s">
        <v>14</v>
      </c>
    </row>
    <row r="39">
      <c r="A39" s="5"/>
      <c r="B39" s="71"/>
      <c r="C39" s="25"/>
      <c r="D39" s="5"/>
      <c r="E39" s="75">
        <v>1.624113809E9</v>
      </c>
      <c r="F39" s="68">
        <f>IFERROR(__xludf.DUMMYFUNCTION("INDEX(SPLIT(E39, char(10)), 0, 1)/86400+date(1970,1,1)"),44366.613530092596)</f>
        <v>44366.61353</v>
      </c>
      <c r="G39" s="5" t="s">
        <v>2113</v>
      </c>
      <c r="H39" s="46" t="s">
        <v>2114</v>
      </c>
      <c r="I39" s="5" t="s">
        <v>93</v>
      </c>
    </row>
    <row r="40">
      <c r="A40" s="5"/>
      <c r="B40" s="71"/>
      <c r="C40" s="25"/>
      <c r="D40" s="5"/>
      <c r="E40" s="75">
        <v>1.624113925E9</v>
      </c>
      <c r="F40" s="68">
        <f>IFERROR(__xludf.DUMMYFUNCTION("INDEX(SPLIT(E40, char(10)), 0, 1)/86400+date(1970,1,1)"),44366.61487268518)</f>
        <v>44366.61487</v>
      </c>
      <c r="G40" s="5" t="s">
        <v>2115</v>
      </c>
      <c r="H40" s="46" t="s">
        <v>2116</v>
      </c>
      <c r="I40" s="5" t="s">
        <v>14</v>
      </c>
    </row>
    <row r="41">
      <c r="A41" s="5"/>
      <c r="B41" s="71"/>
      <c r="C41" s="25"/>
      <c r="D41" s="5"/>
      <c r="E41" s="75">
        <v>1.624114035E9</v>
      </c>
      <c r="F41" s="68">
        <f>IFERROR(__xludf.DUMMYFUNCTION("INDEX(SPLIT(E41, char(10)), 0, 1)/86400+date(1970,1,1)"),44366.61614583334)</f>
        <v>44366.61615</v>
      </c>
      <c r="G41" s="5" t="s">
        <v>2117</v>
      </c>
      <c r="H41" s="46" t="s">
        <v>2118</v>
      </c>
      <c r="I41" s="5" t="s">
        <v>13</v>
      </c>
    </row>
    <row r="42">
      <c r="A42" s="5"/>
      <c r="B42" s="71"/>
      <c r="C42" s="25"/>
      <c r="D42" s="5"/>
      <c r="E42" s="75">
        <v>1.62411428E9</v>
      </c>
      <c r="F42" s="68">
        <f>IFERROR(__xludf.DUMMYFUNCTION("INDEX(SPLIT(E42, char(10)), 0, 1)/86400+date(1970,1,1)"),44366.618981481486)</f>
        <v>44366.61898</v>
      </c>
      <c r="G42" s="5" t="s">
        <v>2119</v>
      </c>
      <c r="H42" s="46" t="s">
        <v>2120</v>
      </c>
      <c r="I42" s="5" t="s">
        <v>12</v>
      </c>
    </row>
    <row r="43">
      <c r="A43" s="71"/>
      <c r="B43" s="71"/>
      <c r="C43" s="71"/>
      <c r="D43" s="71"/>
      <c r="E43" s="25">
        <v>1.624114423E9</v>
      </c>
      <c r="F43" s="68">
        <f>IFERROR(__xludf.DUMMYFUNCTION("INDEX(SPLIT(E43, char(10)), 0, 1)/86400+date(1970,1,1)"),44366.62063657407)</f>
        <v>44366.62064</v>
      </c>
      <c r="G43" s="5" t="s">
        <v>2121</v>
      </c>
      <c r="H43" s="46" t="s">
        <v>2122</v>
      </c>
      <c r="I43" s="5" t="s">
        <v>14</v>
      </c>
    </row>
    <row r="44">
      <c r="A44" s="71"/>
      <c r="B44" s="71"/>
      <c r="C44" s="71"/>
      <c r="D44" s="71"/>
      <c r="E44" s="25">
        <v>1.624114539E9</v>
      </c>
      <c r="F44" s="68">
        <f>IFERROR(__xludf.DUMMYFUNCTION("INDEX(SPLIT(E44, char(10)), 0, 1)/86400+date(1970,1,1)"),44366.621979166666)</f>
        <v>44366.62198</v>
      </c>
      <c r="G44" s="5" t="s">
        <v>2123</v>
      </c>
      <c r="H44" s="46" t="s">
        <v>2124</v>
      </c>
      <c r="I44" s="5" t="s">
        <v>13</v>
      </c>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0</v>
      </c>
      <c r="D2" s="17">
        <f t="shared" ref="D2:D6" si="2">C2/COUNTA(I$2:I1000)</f>
        <v>0</v>
      </c>
      <c r="E2" s="77">
        <v>1.624110473E9</v>
      </c>
      <c r="F2" s="68">
        <f>IFERROR(__xludf.DUMMYFUNCTION("INDEX(SPLIT(E2, char(10)), 0, 1)/86400+date(1970,1,1)"),44366.57491898148)</f>
        <v>44366.57492</v>
      </c>
      <c r="G2" s="46" t="s">
        <v>2125</v>
      </c>
      <c r="H2" s="46" t="s">
        <v>2126</v>
      </c>
      <c r="I2" s="46" t="s">
        <v>13</v>
      </c>
    </row>
    <row r="3">
      <c r="A3" s="5" t="s">
        <v>11</v>
      </c>
      <c r="B3" s="5" t="s">
        <v>111</v>
      </c>
      <c r="C3" s="25">
        <f t="shared" si="1"/>
        <v>0</v>
      </c>
      <c r="D3" s="17">
        <f t="shared" si="2"/>
        <v>0</v>
      </c>
      <c r="E3" s="77">
        <v>1.624112848E9</v>
      </c>
      <c r="F3" s="68">
        <f>IFERROR(__xludf.DUMMYFUNCTION("INDEX(SPLIT(E3, char(10)), 0, 1)/86400+date(1970,1,1)"),44366.60240740741)</f>
        <v>44366.60241</v>
      </c>
      <c r="G3" s="46" t="s">
        <v>450</v>
      </c>
      <c r="H3" s="46" t="s">
        <v>2127</v>
      </c>
      <c r="I3" s="46" t="s">
        <v>13</v>
      </c>
    </row>
    <row r="4">
      <c r="A4" s="5" t="s">
        <v>12</v>
      </c>
      <c r="B4" s="5" t="s">
        <v>114</v>
      </c>
      <c r="C4" s="25">
        <f t="shared" si="1"/>
        <v>0</v>
      </c>
      <c r="D4" s="17">
        <f t="shared" si="2"/>
        <v>0</v>
      </c>
      <c r="E4" s="67"/>
      <c r="F4" s="68"/>
      <c r="G4" s="7"/>
      <c r="H4" s="46"/>
      <c r="I4" s="7"/>
    </row>
    <row r="5">
      <c r="A5" s="5" t="s">
        <v>13</v>
      </c>
      <c r="B5" s="5" t="s">
        <v>117</v>
      </c>
      <c r="C5" s="25">
        <f t="shared" si="1"/>
        <v>2</v>
      </c>
      <c r="D5" s="17">
        <f t="shared" si="2"/>
        <v>1</v>
      </c>
      <c r="E5" s="67"/>
      <c r="F5" s="68"/>
      <c r="G5" s="7"/>
      <c r="H5" s="46"/>
      <c r="I5" s="7"/>
    </row>
    <row r="6">
      <c r="A6" s="5" t="s">
        <v>14</v>
      </c>
      <c r="B6" s="5" t="s">
        <v>120</v>
      </c>
      <c r="C6" s="25">
        <f t="shared" si="1"/>
        <v>0</v>
      </c>
      <c r="D6" s="17">
        <f t="shared" si="2"/>
        <v>0</v>
      </c>
      <c r="E6" s="67"/>
      <c r="F6" s="68"/>
      <c r="G6" s="7"/>
      <c r="H6" s="46"/>
      <c r="I6" s="7"/>
    </row>
    <row r="7">
      <c r="A7" s="5"/>
      <c r="B7" s="5" t="s">
        <v>10</v>
      </c>
      <c r="C7" s="23">
        <f t="shared" ref="C7:D7" si="3">SUM(C2:C6)</f>
        <v>2</v>
      </c>
      <c r="D7" s="70">
        <f t="shared" si="3"/>
        <v>1</v>
      </c>
      <c r="E7" s="67"/>
      <c r="F7" s="68"/>
      <c r="G7" s="7"/>
      <c r="H7" s="46"/>
      <c r="I7" s="7"/>
    </row>
    <row r="8">
      <c r="A8" s="71"/>
      <c r="B8" s="5" t="s">
        <v>15</v>
      </c>
      <c r="C8" s="25">
        <f t="shared" ref="C8:D8" si="4">SUM(C5:C6)</f>
        <v>2</v>
      </c>
      <c r="D8" s="17">
        <f t="shared" si="4"/>
        <v>1</v>
      </c>
      <c r="E8" s="67"/>
      <c r="F8" s="68"/>
      <c r="G8" s="7"/>
      <c r="H8" s="46"/>
      <c r="I8" s="7"/>
    </row>
    <row r="9">
      <c r="A9" s="71"/>
      <c r="B9" s="5" t="s">
        <v>127</v>
      </c>
      <c r="C9" s="25">
        <f>SUM(C6:C7)</f>
        <v>2</v>
      </c>
      <c r="D9" s="17">
        <f>SUM(D5:D6) + D2</f>
        <v>1</v>
      </c>
      <c r="E9" s="67"/>
      <c r="F9" s="68"/>
      <c r="G9" s="7"/>
      <c r="H9" s="46"/>
      <c r="I9" s="7"/>
    </row>
    <row r="10">
      <c r="A10" s="71"/>
      <c r="B10" s="71"/>
      <c r="C10" s="71"/>
      <c r="D10" s="71"/>
      <c r="E10" s="67"/>
      <c r="F10" s="68"/>
      <c r="G10" s="7"/>
      <c r="H10" s="46"/>
      <c r="I10" s="7"/>
    </row>
    <row r="11">
      <c r="A11" s="71"/>
      <c r="B11" s="71"/>
      <c r="C11" s="88"/>
      <c r="D11" s="71"/>
      <c r="E11" s="67"/>
      <c r="F11" s="68"/>
      <c r="G11" s="7"/>
      <c r="H11" s="46"/>
      <c r="I11" s="7"/>
    </row>
    <row r="12">
      <c r="A12" s="13" t="s">
        <v>134</v>
      </c>
      <c r="B12" s="102" t="s">
        <v>2128</v>
      </c>
      <c r="C12" s="88"/>
      <c r="D12" s="71"/>
      <c r="E12" s="67"/>
      <c r="F12" s="68"/>
      <c r="G12" s="7"/>
      <c r="H12" s="46"/>
      <c r="I12" s="7"/>
    </row>
    <row r="13">
      <c r="A13" s="13" t="s">
        <v>138</v>
      </c>
      <c r="B13" s="71"/>
      <c r="C13" s="13" t="s">
        <v>101</v>
      </c>
      <c r="D13" s="13" t="s">
        <v>102</v>
      </c>
      <c r="E13" s="67"/>
      <c r="F13" s="68"/>
      <c r="G13" s="7"/>
      <c r="H13" s="46"/>
      <c r="I13" s="7"/>
    </row>
    <row r="14">
      <c r="A14" s="5" t="s">
        <v>141</v>
      </c>
      <c r="B14" s="5" t="s">
        <v>142</v>
      </c>
      <c r="C14" s="23">
        <f t="shared" ref="C14:C17" si="5">COUNTIF($A$19:$A1000, A14)</f>
        <v>2</v>
      </c>
      <c r="D14" s="17">
        <f>IFERROR(__xludf.DUMMYFUNCTION("IF(C14, COUNTIF(FILTER($D$19:$D1000, $A$19:$A1000=A14), TRUE)/C14, 0)"),1.0)</f>
        <v>1</v>
      </c>
      <c r="E14" s="67"/>
      <c r="F14" s="68"/>
      <c r="G14" s="7"/>
      <c r="H14" s="46"/>
      <c r="I14" s="7"/>
    </row>
    <row r="15">
      <c r="A15" s="5" t="s">
        <v>3</v>
      </c>
      <c r="B15" s="5" t="s">
        <v>145</v>
      </c>
      <c r="C15" s="23">
        <f t="shared" si="5"/>
        <v>2</v>
      </c>
      <c r="D15" s="17">
        <f>IFERROR(__xludf.DUMMYFUNCTION("IF(C15, COUNTIF(FILTER($D$19:$D1000, $A$19:$A1000=A15), TRUE)/C15, 0)"),0.0)</f>
        <v>0</v>
      </c>
      <c r="E15" s="67"/>
      <c r="F15" s="68"/>
      <c r="G15" s="7"/>
      <c r="H15" s="46"/>
      <c r="I15" s="7"/>
    </row>
    <row r="16">
      <c r="A16" s="5" t="s">
        <v>4</v>
      </c>
      <c r="B16" s="5" t="s">
        <v>148</v>
      </c>
      <c r="C16" s="23">
        <f t="shared" si="5"/>
        <v>4</v>
      </c>
      <c r="D16" s="17">
        <f>IFERROR(__xludf.DUMMYFUNCTION("IF(C16, COUNTIF(FILTER($D$19:$D1000, $A$19:$A1000=A16), TRUE)/C16, 0)"),0.0)</f>
        <v>0</v>
      </c>
      <c r="E16" s="67"/>
      <c r="F16" s="68"/>
      <c r="G16" s="7"/>
      <c r="H16" s="46"/>
      <c r="I16" s="7"/>
    </row>
    <row r="17">
      <c r="A17" s="5" t="s">
        <v>5</v>
      </c>
      <c r="B17" s="5" t="s">
        <v>151</v>
      </c>
      <c r="C17" s="23">
        <f t="shared" si="5"/>
        <v>7</v>
      </c>
      <c r="D17" s="17">
        <f>IFERROR(__xludf.DUMMYFUNCTION("IF(C17, COUNTIF(FILTER($D$19:$D1000, $A$19:$A1000=A17), TRUE)/C17, 0)"),0.0)</f>
        <v>0</v>
      </c>
      <c r="E17" s="67"/>
      <c r="F17" s="68"/>
      <c r="G17" s="7"/>
      <c r="H17" s="46"/>
      <c r="I17" s="7"/>
    </row>
    <row r="18">
      <c r="A18" s="71"/>
      <c r="B18" s="13" t="s">
        <v>6</v>
      </c>
      <c r="C18" s="23">
        <f>SUM(C14:C17)</f>
        <v>15</v>
      </c>
      <c r="D18" s="17">
        <f>COUNTIF($D$19:$D1000, TRUE)/SUM($C$14:$C$17)</f>
        <v>0.1333333333</v>
      </c>
      <c r="E18" s="67"/>
      <c r="F18" s="68"/>
      <c r="G18" s="7"/>
      <c r="H18" s="46"/>
      <c r="I18" s="7"/>
    </row>
    <row r="19">
      <c r="A19" s="13" t="s">
        <v>107</v>
      </c>
      <c r="B19" s="13" t="s">
        <v>156</v>
      </c>
      <c r="C19" s="13" t="s">
        <v>157</v>
      </c>
      <c r="D19" s="13" t="s">
        <v>158</v>
      </c>
      <c r="E19" s="67"/>
      <c r="F19" s="68"/>
      <c r="G19" s="7"/>
      <c r="H19" s="46"/>
      <c r="I19" s="7"/>
    </row>
    <row r="20">
      <c r="A20" s="5" t="s">
        <v>4</v>
      </c>
      <c r="B20" s="5" t="s">
        <v>161</v>
      </c>
      <c r="C20" s="25">
        <v>1.0</v>
      </c>
      <c r="D20" s="96" t="b">
        <v>0</v>
      </c>
      <c r="E20" s="67"/>
      <c r="F20" s="68"/>
      <c r="G20" s="7"/>
      <c r="H20" s="46"/>
      <c r="I20" s="7"/>
    </row>
    <row r="21">
      <c r="A21" s="5" t="s">
        <v>3</v>
      </c>
      <c r="B21" s="5" t="s">
        <v>2066</v>
      </c>
      <c r="C21" s="25">
        <v>10.0</v>
      </c>
      <c r="D21" s="79" t="b">
        <v>0</v>
      </c>
      <c r="E21" s="67"/>
      <c r="F21" s="68"/>
      <c r="G21" s="7"/>
      <c r="H21" s="46"/>
      <c r="I21" s="7"/>
    </row>
    <row r="22">
      <c r="A22" s="5" t="s">
        <v>5</v>
      </c>
      <c r="B22" s="5" t="s">
        <v>2069</v>
      </c>
      <c r="C22" s="25">
        <v>26.0</v>
      </c>
      <c r="D22" s="79" t="b">
        <v>0</v>
      </c>
      <c r="E22" s="67"/>
      <c r="F22" s="68"/>
      <c r="G22" s="7"/>
      <c r="H22" s="46"/>
      <c r="I22" s="7"/>
    </row>
    <row r="23">
      <c r="A23" s="5" t="s">
        <v>141</v>
      </c>
      <c r="B23" s="5" t="s">
        <v>2072</v>
      </c>
      <c r="C23" s="25">
        <v>45.0</v>
      </c>
      <c r="D23" s="79" t="b">
        <v>1</v>
      </c>
      <c r="E23" s="67"/>
      <c r="F23" s="68"/>
      <c r="G23" s="7"/>
      <c r="H23" s="46"/>
      <c r="I23" s="7"/>
    </row>
    <row r="24">
      <c r="A24" s="5" t="s">
        <v>4</v>
      </c>
      <c r="B24" s="5" t="s">
        <v>167</v>
      </c>
      <c r="C24" s="25">
        <v>45.0</v>
      </c>
      <c r="D24" s="79" t="b">
        <v>0</v>
      </c>
      <c r="E24" s="67"/>
      <c r="F24" s="68"/>
      <c r="G24" s="7"/>
      <c r="H24" s="46"/>
      <c r="I24" s="7"/>
    </row>
    <row r="25">
      <c r="A25" s="5" t="s">
        <v>4</v>
      </c>
      <c r="B25" s="71" t="s">
        <v>170</v>
      </c>
      <c r="C25" s="25">
        <v>46.0</v>
      </c>
      <c r="D25" s="79" t="b">
        <v>0</v>
      </c>
      <c r="E25" s="67"/>
      <c r="F25" s="68"/>
      <c r="G25" s="7"/>
      <c r="H25" s="46"/>
      <c r="I25" s="7"/>
    </row>
    <row r="26">
      <c r="A26" s="5" t="s">
        <v>3</v>
      </c>
      <c r="B26" s="71" t="s">
        <v>2079</v>
      </c>
      <c r="C26" s="25">
        <v>52.0</v>
      </c>
      <c r="D26" s="79" t="b">
        <v>0</v>
      </c>
      <c r="E26" s="67"/>
      <c r="F26" s="68"/>
      <c r="G26" s="7"/>
      <c r="H26" s="46"/>
      <c r="I26" s="7"/>
    </row>
    <row r="27">
      <c r="A27" s="5" t="s">
        <v>5</v>
      </c>
      <c r="B27" s="71" t="s">
        <v>2082</v>
      </c>
      <c r="C27" s="25">
        <v>57.0</v>
      </c>
      <c r="D27" s="79" t="b">
        <v>0</v>
      </c>
      <c r="E27" s="67"/>
      <c r="F27" s="68"/>
      <c r="G27" s="7"/>
      <c r="H27" s="46"/>
      <c r="I27" s="7"/>
    </row>
    <row r="28">
      <c r="A28" s="5" t="s">
        <v>141</v>
      </c>
      <c r="B28" s="71" t="s">
        <v>2085</v>
      </c>
      <c r="C28" s="25">
        <v>66.0</v>
      </c>
      <c r="D28" s="79" t="b">
        <v>1</v>
      </c>
      <c r="E28" s="67"/>
      <c r="F28" s="68"/>
      <c r="G28" s="7"/>
      <c r="H28" s="46"/>
      <c r="I28" s="7"/>
    </row>
    <row r="29">
      <c r="A29" s="5" t="s">
        <v>5</v>
      </c>
      <c r="B29" s="71" t="s">
        <v>2088</v>
      </c>
      <c r="C29" s="25">
        <v>75.0</v>
      </c>
      <c r="D29" s="79" t="b">
        <v>0</v>
      </c>
      <c r="E29" s="67"/>
      <c r="F29" s="68"/>
      <c r="G29" s="7"/>
      <c r="H29" s="46"/>
      <c r="I29" s="7"/>
    </row>
    <row r="30">
      <c r="A30" s="5" t="s">
        <v>5</v>
      </c>
      <c r="B30" s="71" t="s">
        <v>2091</v>
      </c>
      <c r="C30" s="25">
        <v>76.0</v>
      </c>
      <c r="D30" s="79" t="b">
        <v>0</v>
      </c>
      <c r="E30" s="67"/>
      <c r="F30" s="68"/>
      <c r="G30" s="7"/>
      <c r="H30" s="46"/>
      <c r="I30" s="7"/>
    </row>
    <row r="31">
      <c r="A31" s="5" t="s">
        <v>5</v>
      </c>
      <c r="B31" s="71" t="s">
        <v>2094</v>
      </c>
      <c r="C31" s="25">
        <v>76.0</v>
      </c>
      <c r="D31" s="79" t="b">
        <v>0</v>
      </c>
      <c r="E31" s="67"/>
      <c r="F31" s="68"/>
      <c r="G31" s="7"/>
      <c r="H31" s="46"/>
      <c r="I31" s="7"/>
    </row>
    <row r="32">
      <c r="A32" s="5" t="s">
        <v>5</v>
      </c>
      <c r="B32" s="71" t="s">
        <v>2097</v>
      </c>
      <c r="C32" s="25">
        <v>84.0</v>
      </c>
      <c r="D32" s="79" t="b">
        <v>0</v>
      </c>
      <c r="E32" s="67"/>
      <c r="F32" s="68"/>
      <c r="G32" s="7"/>
      <c r="H32" s="46"/>
      <c r="I32" s="7"/>
    </row>
    <row r="33">
      <c r="A33" s="5" t="s">
        <v>5</v>
      </c>
      <c r="B33" s="71" t="s">
        <v>2100</v>
      </c>
      <c r="C33" s="25">
        <v>87.0</v>
      </c>
      <c r="D33" s="79" t="b">
        <v>0</v>
      </c>
      <c r="E33" s="67"/>
      <c r="F33" s="68"/>
      <c r="G33" s="7"/>
      <c r="H33" s="46"/>
      <c r="I33" s="7"/>
    </row>
    <row r="34">
      <c r="A34" s="5" t="s">
        <v>4</v>
      </c>
      <c r="B34" s="71" t="s">
        <v>195</v>
      </c>
      <c r="C34" s="25">
        <v>90.0</v>
      </c>
      <c r="D34" s="79" t="b">
        <v>0</v>
      </c>
      <c r="E34" s="67"/>
      <c r="F34" s="68"/>
      <c r="G34" s="7"/>
      <c r="H34" s="46"/>
      <c r="I34" s="7"/>
    </row>
    <row r="35">
      <c r="A35" s="5"/>
      <c r="B35" s="71"/>
      <c r="C35" s="25"/>
      <c r="D35" s="5"/>
      <c r="E35" s="67"/>
      <c r="F35" s="68"/>
      <c r="G35" s="7"/>
      <c r="H35" s="46"/>
      <c r="I35" s="7"/>
    </row>
    <row r="36">
      <c r="A36" s="5"/>
      <c r="B36" s="71"/>
      <c r="C36" s="25"/>
      <c r="D36" s="5"/>
      <c r="E36" s="67"/>
      <c r="F36" s="68"/>
      <c r="G36" s="7"/>
      <c r="H36" s="46"/>
      <c r="I36" s="7"/>
    </row>
    <row r="37">
      <c r="A37" s="5"/>
      <c r="B37" s="71"/>
      <c r="C37" s="25"/>
      <c r="D37" s="5"/>
      <c r="E37" s="67"/>
      <c r="F37" s="68"/>
      <c r="G37" s="7"/>
      <c r="H37" s="46"/>
      <c r="I37" s="7"/>
    </row>
    <row r="38">
      <c r="A38" s="5"/>
      <c r="B38" s="71"/>
      <c r="C38" s="25"/>
      <c r="D38" s="5"/>
      <c r="E38" s="67"/>
      <c r="F38" s="68"/>
      <c r="G38" s="7"/>
      <c r="H38" s="46"/>
      <c r="I38" s="7"/>
    </row>
    <row r="39">
      <c r="A39" s="5"/>
      <c r="B39" s="71"/>
      <c r="C39" s="25"/>
      <c r="D39" s="5"/>
      <c r="E39" s="75"/>
      <c r="F39" s="68"/>
      <c r="G39" s="5"/>
      <c r="H39" s="46"/>
      <c r="I39" s="5"/>
    </row>
    <row r="40">
      <c r="A40" s="5"/>
      <c r="B40" s="71"/>
      <c r="C40" s="25"/>
      <c r="D40" s="5"/>
      <c r="E40" s="75"/>
      <c r="F40" s="68"/>
      <c r="G40" s="5"/>
      <c r="H40" s="46"/>
      <c r="I40" s="5"/>
    </row>
    <row r="41">
      <c r="A41" s="5"/>
      <c r="B41" s="71"/>
      <c r="C41" s="25"/>
      <c r="D41" s="5"/>
      <c r="E41" s="75"/>
      <c r="F41" s="68"/>
      <c r="G41" s="5"/>
      <c r="H41" s="46"/>
      <c r="I41" s="5"/>
    </row>
    <row r="42">
      <c r="A42" s="5"/>
      <c r="B42" s="71"/>
      <c r="C42" s="25"/>
      <c r="D42" s="5"/>
      <c r="E42" s="75"/>
      <c r="F42" s="68"/>
      <c r="G42" s="5"/>
      <c r="H42" s="46"/>
      <c r="I42" s="5"/>
    </row>
    <row r="43">
      <c r="A43" s="71"/>
      <c r="B43" s="71"/>
      <c r="C43" s="71"/>
      <c r="D43" s="71"/>
      <c r="E43" s="25"/>
      <c r="F43" s="68"/>
      <c r="G43" s="5"/>
      <c r="H43" s="46"/>
      <c r="I43" s="5"/>
    </row>
    <row r="44">
      <c r="A44" s="71"/>
      <c r="B44" s="71"/>
      <c r="C44" s="71"/>
      <c r="D44" s="71"/>
      <c r="E44" s="25"/>
      <c r="F44" s="68"/>
      <c r="G44" s="5"/>
      <c r="H44" s="46"/>
      <c r="I44" s="5"/>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0</v>
      </c>
      <c r="D2" s="17">
        <f t="shared" ref="D2:D6" si="2">C2/COUNTA(I$2:I1000)</f>
        <v>0</v>
      </c>
      <c r="E2" s="77">
        <v>1.624108467E9</v>
      </c>
      <c r="F2" s="68">
        <f>IFERROR(__xludf.DUMMYFUNCTION("INDEX(SPLIT(E2, char(10)), 0, 1)/86400+date(1970,1,1)"),44366.55170138889)</f>
        <v>44366.5517</v>
      </c>
      <c r="G2" s="46" t="s">
        <v>2129</v>
      </c>
      <c r="H2" s="46" t="s">
        <v>2130</v>
      </c>
      <c r="I2" s="46" t="s">
        <v>14</v>
      </c>
    </row>
    <row r="3">
      <c r="A3" s="5" t="s">
        <v>11</v>
      </c>
      <c r="B3" s="5" t="s">
        <v>111</v>
      </c>
      <c r="C3" s="25">
        <f t="shared" si="1"/>
        <v>1</v>
      </c>
      <c r="D3" s="17">
        <f t="shared" si="2"/>
        <v>0.125</v>
      </c>
      <c r="E3" s="77">
        <v>1.62410863E9</v>
      </c>
      <c r="F3" s="68">
        <f>IFERROR(__xludf.DUMMYFUNCTION("INDEX(SPLIT(E3, char(10)), 0, 1)/86400+date(1970,1,1)"),44366.55358796296)</f>
        <v>44366.55359</v>
      </c>
      <c r="G3" s="46" t="s">
        <v>2131</v>
      </c>
      <c r="H3" s="46" t="s">
        <v>2132</v>
      </c>
      <c r="I3" s="46" t="s">
        <v>14</v>
      </c>
    </row>
    <row r="4">
      <c r="A4" s="5" t="s">
        <v>12</v>
      </c>
      <c r="B4" s="5" t="s">
        <v>114</v>
      </c>
      <c r="C4" s="25">
        <f t="shared" si="1"/>
        <v>0</v>
      </c>
      <c r="D4" s="17">
        <f t="shared" si="2"/>
        <v>0</v>
      </c>
      <c r="E4" s="77">
        <v>1.624109468E9</v>
      </c>
      <c r="F4" s="68">
        <f>IFERROR(__xludf.DUMMYFUNCTION("INDEX(SPLIT(E4, char(10)), 0, 1)/86400+date(1970,1,1)"),44366.56328703703)</f>
        <v>44366.56329</v>
      </c>
      <c r="G4" s="46" t="s">
        <v>2133</v>
      </c>
      <c r="H4" s="46" t="s">
        <v>2134</v>
      </c>
      <c r="I4" s="46" t="s">
        <v>14</v>
      </c>
    </row>
    <row r="5">
      <c r="A5" s="5" t="s">
        <v>13</v>
      </c>
      <c r="B5" s="5" t="s">
        <v>117</v>
      </c>
      <c r="C5" s="25">
        <f t="shared" si="1"/>
        <v>4</v>
      </c>
      <c r="D5" s="17">
        <f t="shared" si="2"/>
        <v>0.5</v>
      </c>
      <c r="E5" s="77">
        <v>1.624110449E9</v>
      </c>
      <c r="F5" s="68">
        <f>IFERROR(__xludf.DUMMYFUNCTION("INDEX(SPLIT(E5, char(10)), 0, 1)/86400+date(1970,1,1)"),44366.574641203704)</f>
        <v>44366.57464</v>
      </c>
      <c r="G5" s="46" t="s">
        <v>2135</v>
      </c>
      <c r="H5" s="46" t="s">
        <v>2136</v>
      </c>
      <c r="I5" s="46" t="s">
        <v>13</v>
      </c>
    </row>
    <row r="6">
      <c r="A6" s="5" t="s">
        <v>14</v>
      </c>
      <c r="B6" s="5" t="s">
        <v>120</v>
      </c>
      <c r="C6" s="25">
        <f t="shared" si="1"/>
        <v>3</v>
      </c>
      <c r="D6" s="17">
        <f t="shared" si="2"/>
        <v>0.375</v>
      </c>
      <c r="E6" s="77">
        <v>1.624112819E9</v>
      </c>
      <c r="F6" s="68">
        <f>IFERROR(__xludf.DUMMYFUNCTION("INDEX(SPLIT(E6, char(10)), 0, 1)/86400+date(1970,1,1)"),44366.60207175926)</f>
        <v>44366.60207</v>
      </c>
      <c r="G6" s="46" t="s">
        <v>2137</v>
      </c>
      <c r="H6" s="46" t="s">
        <v>2138</v>
      </c>
      <c r="I6" s="46" t="s">
        <v>13</v>
      </c>
    </row>
    <row r="7">
      <c r="A7" s="5"/>
      <c r="B7" s="5" t="s">
        <v>10</v>
      </c>
      <c r="C7" s="23">
        <f t="shared" ref="C7:D7" si="3">SUM(C2:C6)</f>
        <v>8</v>
      </c>
      <c r="D7" s="70">
        <f t="shared" si="3"/>
        <v>1</v>
      </c>
      <c r="E7" s="77">
        <v>1.624113474E9</v>
      </c>
      <c r="F7" s="68">
        <f>IFERROR(__xludf.DUMMYFUNCTION("INDEX(SPLIT(E7, char(10)), 0, 1)/86400+date(1970,1,1)"),44366.60965277778)</f>
        <v>44366.60965</v>
      </c>
      <c r="G7" s="46" t="s">
        <v>2139</v>
      </c>
      <c r="H7" s="46" t="s">
        <v>2140</v>
      </c>
      <c r="I7" s="46" t="s">
        <v>11</v>
      </c>
    </row>
    <row r="8">
      <c r="A8" s="71"/>
      <c r="B8" s="5" t="s">
        <v>15</v>
      </c>
      <c r="C8" s="25">
        <f t="shared" ref="C8:D8" si="4">SUM(C5:C6)</f>
        <v>7</v>
      </c>
      <c r="D8" s="17">
        <f t="shared" si="4"/>
        <v>0.875</v>
      </c>
      <c r="E8" s="77">
        <v>1.624114041E9</v>
      </c>
      <c r="F8" s="68">
        <f>IFERROR(__xludf.DUMMYFUNCTION("INDEX(SPLIT(E8, char(10)), 0, 1)/86400+date(1970,1,1)"),44366.616215277776)</f>
        <v>44366.61622</v>
      </c>
      <c r="G8" s="46" t="s">
        <v>2141</v>
      </c>
      <c r="H8" s="46" t="s">
        <v>2142</v>
      </c>
      <c r="I8" s="46" t="s">
        <v>13</v>
      </c>
    </row>
    <row r="9">
      <c r="A9" s="71"/>
      <c r="B9" s="5" t="s">
        <v>127</v>
      </c>
      <c r="C9" s="25">
        <f>SUM(C6:C7)</f>
        <v>11</v>
      </c>
      <c r="D9" s="17">
        <f>SUM(D5:D6) + D2</f>
        <v>0.875</v>
      </c>
      <c r="E9" s="77">
        <v>1.624114636E9</v>
      </c>
      <c r="F9" s="68">
        <f>IFERROR(__xludf.DUMMYFUNCTION("INDEX(SPLIT(E9, char(10)), 0, 1)/86400+date(1970,1,1)"),44366.62310185185)</f>
        <v>44366.6231</v>
      </c>
      <c r="G9" s="46" t="s">
        <v>2143</v>
      </c>
      <c r="H9" s="46" t="s">
        <v>2144</v>
      </c>
      <c r="I9" s="46" t="s">
        <v>13</v>
      </c>
    </row>
    <row r="10">
      <c r="A10" s="71"/>
      <c r="B10" s="71"/>
      <c r="C10" s="71"/>
      <c r="D10" s="71"/>
      <c r="E10" s="67"/>
      <c r="F10" s="68"/>
      <c r="G10" s="7"/>
      <c r="H10" s="46"/>
      <c r="I10" s="7"/>
    </row>
    <row r="11">
      <c r="A11" s="71"/>
      <c r="B11" s="71"/>
      <c r="C11" s="88"/>
      <c r="D11" s="71"/>
      <c r="E11" s="67"/>
      <c r="F11" s="68"/>
      <c r="G11" s="7"/>
      <c r="H11" s="46"/>
      <c r="I11" s="7"/>
    </row>
    <row r="12">
      <c r="A12" s="13" t="s">
        <v>134</v>
      </c>
      <c r="B12" s="102" t="s">
        <v>2145</v>
      </c>
      <c r="C12" s="88"/>
      <c r="D12" s="71"/>
      <c r="E12" s="67"/>
      <c r="F12" s="68"/>
      <c r="G12" s="7"/>
      <c r="H12" s="46"/>
      <c r="I12" s="7"/>
    </row>
    <row r="13">
      <c r="A13" s="13" t="s">
        <v>138</v>
      </c>
      <c r="B13" s="71"/>
      <c r="C13" s="13" t="s">
        <v>101</v>
      </c>
      <c r="D13" s="13" t="s">
        <v>102</v>
      </c>
      <c r="E13" s="67"/>
      <c r="F13" s="68"/>
      <c r="G13" s="7"/>
      <c r="H13" s="46"/>
      <c r="I13" s="7"/>
    </row>
    <row r="14">
      <c r="A14" s="5" t="s">
        <v>141</v>
      </c>
      <c r="B14" s="5" t="s">
        <v>142</v>
      </c>
      <c r="C14" s="23">
        <f t="shared" ref="C14:C17" si="5">COUNTIF($A$19:$A1000, A14)</f>
        <v>2</v>
      </c>
      <c r="D14" s="17">
        <f>IFERROR(__xludf.DUMMYFUNCTION("IF(C14, COUNTIF(FILTER($D$19:$D1000, $A$19:$A1000=A14), TRUE)/C14, 0)"),1.0)</f>
        <v>1</v>
      </c>
      <c r="E14" s="67"/>
      <c r="F14" s="68"/>
      <c r="G14" s="7"/>
      <c r="H14" s="46"/>
      <c r="I14" s="7"/>
    </row>
    <row r="15">
      <c r="A15" s="5" t="s">
        <v>3</v>
      </c>
      <c r="B15" s="5" t="s">
        <v>145</v>
      </c>
      <c r="C15" s="23">
        <f t="shared" si="5"/>
        <v>2</v>
      </c>
      <c r="D15" s="17">
        <f>IFERROR(__xludf.DUMMYFUNCTION("IF(C15, COUNTIF(FILTER($D$19:$D1000, $A$19:$A1000=A15), TRUE)/C15, 0)"),0.0)</f>
        <v>0</v>
      </c>
      <c r="E15" s="67"/>
      <c r="F15" s="68"/>
      <c r="G15" s="7"/>
      <c r="H15" s="46"/>
      <c r="I15" s="7"/>
    </row>
    <row r="16">
      <c r="A16" s="5" t="s">
        <v>4</v>
      </c>
      <c r="B16" s="5" t="s">
        <v>148</v>
      </c>
      <c r="C16" s="23">
        <f t="shared" si="5"/>
        <v>4</v>
      </c>
      <c r="D16" s="17">
        <f>IFERROR(__xludf.DUMMYFUNCTION("IF(C16, COUNTIF(FILTER($D$19:$D1000, $A$19:$A1000=A16), TRUE)/C16, 0)"),0.25)</f>
        <v>0.25</v>
      </c>
      <c r="E16" s="67"/>
      <c r="F16" s="68"/>
      <c r="G16" s="7"/>
      <c r="H16" s="46"/>
      <c r="I16" s="7"/>
    </row>
    <row r="17">
      <c r="A17" s="5" t="s">
        <v>5</v>
      </c>
      <c r="B17" s="5" t="s">
        <v>151</v>
      </c>
      <c r="C17" s="23">
        <f t="shared" si="5"/>
        <v>7</v>
      </c>
      <c r="D17" s="17">
        <f>IFERROR(__xludf.DUMMYFUNCTION("IF(C17, COUNTIF(FILTER($D$19:$D1000, $A$19:$A1000=A17), TRUE)/C17, 0)"),0.14285714285714285)</f>
        <v>0.1428571429</v>
      </c>
      <c r="E17" s="67"/>
      <c r="F17" s="68"/>
      <c r="G17" s="7"/>
      <c r="H17" s="46"/>
      <c r="I17" s="7"/>
    </row>
    <row r="18">
      <c r="A18" s="71"/>
      <c r="B18" s="13" t="s">
        <v>6</v>
      </c>
      <c r="C18" s="23">
        <f>SUM(C14:C17)</f>
        <v>15</v>
      </c>
      <c r="D18" s="17">
        <f>COUNTIF($D$19:$D1000, TRUE)/SUM($C$14:$C$17)</f>
        <v>0.2666666667</v>
      </c>
      <c r="E18" s="67"/>
      <c r="F18" s="68"/>
      <c r="G18" s="7"/>
      <c r="H18" s="46"/>
      <c r="I18" s="7"/>
    </row>
    <row r="19">
      <c r="A19" s="13" t="s">
        <v>107</v>
      </c>
      <c r="B19" s="13" t="s">
        <v>156</v>
      </c>
      <c r="C19" s="13" t="s">
        <v>157</v>
      </c>
      <c r="D19" s="13" t="s">
        <v>158</v>
      </c>
      <c r="E19" s="67"/>
      <c r="F19" s="68"/>
      <c r="G19" s="7"/>
      <c r="H19" s="46"/>
      <c r="I19" s="7"/>
    </row>
    <row r="20">
      <c r="A20" s="5" t="s">
        <v>4</v>
      </c>
      <c r="B20" s="5" t="s">
        <v>161</v>
      </c>
      <c r="C20" s="25">
        <v>1.0</v>
      </c>
      <c r="D20" s="79" t="b">
        <v>0</v>
      </c>
      <c r="E20" s="67"/>
      <c r="F20" s="68"/>
      <c r="G20" s="7"/>
      <c r="H20" s="46"/>
      <c r="I20" s="7"/>
    </row>
    <row r="21">
      <c r="A21" s="5" t="s">
        <v>3</v>
      </c>
      <c r="B21" s="5" t="s">
        <v>2066</v>
      </c>
      <c r="C21" s="25">
        <v>10.0</v>
      </c>
      <c r="D21" s="79" t="b">
        <v>0</v>
      </c>
      <c r="E21" s="67"/>
      <c r="F21" s="68"/>
      <c r="G21" s="7"/>
      <c r="H21" s="46"/>
      <c r="I21" s="7"/>
    </row>
    <row r="22">
      <c r="A22" s="5" t="s">
        <v>5</v>
      </c>
      <c r="B22" s="5" t="s">
        <v>2069</v>
      </c>
      <c r="C22" s="25">
        <v>26.0</v>
      </c>
      <c r="D22" s="79" t="b">
        <v>0</v>
      </c>
      <c r="E22" s="67"/>
      <c r="F22" s="68"/>
      <c r="G22" s="7"/>
      <c r="H22" s="46"/>
      <c r="I22" s="7"/>
    </row>
    <row r="23">
      <c r="A23" s="5" t="s">
        <v>141</v>
      </c>
      <c r="B23" s="5" t="s">
        <v>2072</v>
      </c>
      <c r="C23" s="25">
        <v>45.0</v>
      </c>
      <c r="D23" s="79" t="b">
        <v>1</v>
      </c>
      <c r="E23" s="67"/>
      <c r="F23" s="68"/>
      <c r="G23" s="7"/>
      <c r="H23" s="46"/>
      <c r="I23" s="7"/>
    </row>
    <row r="24">
      <c r="A24" s="5" t="s">
        <v>4</v>
      </c>
      <c r="B24" s="5" t="s">
        <v>167</v>
      </c>
      <c r="C24" s="25">
        <v>45.0</v>
      </c>
      <c r="D24" s="79" t="b">
        <v>0</v>
      </c>
      <c r="E24" s="67"/>
      <c r="F24" s="68"/>
      <c r="G24" s="7"/>
      <c r="H24" s="46"/>
      <c r="I24" s="7"/>
    </row>
    <row r="25">
      <c r="A25" s="5" t="s">
        <v>4</v>
      </c>
      <c r="B25" s="71" t="s">
        <v>170</v>
      </c>
      <c r="C25" s="25">
        <v>46.0</v>
      </c>
      <c r="D25" s="79" t="b">
        <v>0</v>
      </c>
      <c r="E25" s="67"/>
      <c r="F25" s="68"/>
      <c r="G25" s="7"/>
      <c r="H25" s="46"/>
      <c r="I25" s="7"/>
    </row>
    <row r="26">
      <c r="A26" s="5" t="s">
        <v>3</v>
      </c>
      <c r="B26" s="71" t="s">
        <v>2079</v>
      </c>
      <c r="C26" s="25">
        <v>52.0</v>
      </c>
      <c r="D26" s="79" t="b">
        <v>0</v>
      </c>
      <c r="E26" s="67"/>
      <c r="F26" s="68"/>
      <c r="G26" s="7"/>
      <c r="H26" s="46"/>
      <c r="I26" s="7"/>
    </row>
    <row r="27">
      <c r="A27" s="5" t="s">
        <v>5</v>
      </c>
      <c r="B27" s="71" t="s">
        <v>2082</v>
      </c>
      <c r="C27" s="25">
        <v>57.0</v>
      </c>
      <c r="D27" s="79" t="b">
        <v>0</v>
      </c>
      <c r="E27" s="67"/>
      <c r="F27" s="68"/>
      <c r="G27" s="7"/>
      <c r="H27" s="46"/>
      <c r="I27" s="7"/>
    </row>
    <row r="28">
      <c r="A28" s="5" t="s">
        <v>141</v>
      </c>
      <c r="B28" s="71" t="s">
        <v>2085</v>
      </c>
      <c r="C28" s="25">
        <v>66.0</v>
      </c>
      <c r="D28" s="79" t="b">
        <v>1</v>
      </c>
      <c r="E28" s="67"/>
      <c r="F28" s="68"/>
      <c r="G28" s="7"/>
      <c r="H28" s="46"/>
      <c r="I28" s="7"/>
    </row>
    <row r="29">
      <c r="A29" s="5" t="s">
        <v>5</v>
      </c>
      <c r="B29" s="71" t="s">
        <v>2088</v>
      </c>
      <c r="C29" s="25">
        <v>75.0</v>
      </c>
      <c r="D29" s="79" t="b">
        <v>0</v>
      </c>
      <c r="E29" s="67"/>
      <c r="F29" s="68"/>
      <c r="G29" s="7"/>
      <c r="H29" s="46"/>
      <c r="I29" s="7"/>
    </row>
    <row r="30">
      <c r="A30" s="5" t="s">
        <v>5</v>
      </c>
      <c r="B30" s="71" t="s">
        <v>2091</v>
      </c>
      <c r="C30" s="25">
        <v>76.0</v>
      </c>
      <c r="D30" s="79" t="b">
        <v>0</v>
      </c>
      <c r="E30" s="67"/>
      <c r="F30" s="68"/>
      <c r="G30" s="7"/>
      <c r="H30" s="46"/>
      <c r="I30" s="7"/>
    </row>
    <row r="31">
      <c r="A31" s="5" t="s">
        <v>5</v>
      </c>
      <c r="B31" s="71" t="s">
        <v>2094</v>
      </c>
      <c r="C31" s="25">
        <v>76.0</v>
      </c>
      <c r="D31" s="79" t="b">
        <v>0</v>
      </c>
      <c r="E31" s="67"/>
      <c r="F31" s="68"/>
      <c r="G31" s="7"/>
      <c r="H31" s="46"/>
      <c r="I31" s="7"/>
    </row>
    <row r="32">
      <c r="A32" s="5" t="s">
        <v>5</v>
      </c>
      <c r="B32" s="71" t="s">
        <v>2097</v>
      </c>
      <c r="C32" s="25">
        <v>84.0</v>
      </c>
      <c r="D32" s="79" t="b">
        <v>0</v>
      </c>
      <c r="E32" s="67"/>
      <c r="F32" s="68"/>
      <c r="G32" s="7"/>
      <c r="H32" s="46"/>
      <c r="I32" s="7"/>
    </row>
    <row r="33">
      <c r="A33" s="5" t="s">
        <v>5</v>
      </c>
      <c r="B33" s="71" t="s">
        <v>2100</v>
      </c>
      <c r="C33" s="25">
        <v>87.0</v>
      </c>
      <c r="D33" s="79" t="b">
        <v>1</v>
      </c>
      <c r="E33" s="67"/>
      <c r="F33" s="68"/>
      <c r="G33" s="7"/>
      <c r="H33" s="46"/>
      <c r="I33" s="7"/>
    </row>
    <row r="34">
      <c r="A34" s="5" t="s">
        <v>4</v>
      </c>
      <c r="B34" s="71" t="s">
        <v>195</v>
      </c>
      <c r="C34" s="25">
        <v>90.0</v>
      </c>
      <c r="D34" s="79" t="b">
        <v>1</v>
      </c>
      <c r="E34" s="67"/>
      <c r="F34" s="68"/>
      <c r="G34" s="7"/>
      <c r="H34" s="46"/>
      <c r="I34" s="7"/>
    </row>
    <row r="35">
      <c r="A35" s="5"/>
      <c r="B35" s="71"/>
      <c r="C35" s="25"/>
      <c r="D35" s="5"/>
      <c r="E35" s="67"/>
      <c r="F35" s="68"/>
      <c r="G35" s="7"/>
      <c r="H35" s="46"/>
      <c r="I35" s="7"/>
    </row>
    <row r="36">
      <c r="A36" s="46"/>
      <c r="B36" s="46"/>
      <c r="C36" s="77"/>
      <c r="D36" s="5"/>
      <c r="E36" s="67"/>
      <c r="F36" s="68"/>
      <c r="G36" s="7"/>
      <c r="H36" s="46"/>
      <c r="I36" s="7"/>
    </row>
    <row r="37">
      <c r="A37" s="46"/>
      <c r="B37" s="46"/>
      <c r="C37" s="77"/>
      <c r="D37" s="5"/>
      <c r="E37" s="67"/>
      <c r="F37" s="68"/>
      <c r="G37" s="7"/>
      <c r="H37" s="46"/>
      <c r="I37" s="7"/>
    </row>
    <row r="38">
      <c r="A38" s="46"/>
      <c r="B38" s="46"/>
      <c r="C38" s="77"/>
      <c r="D38" s="5"/>
      <c r="E38" s="67"/>
      <c r="F38" s="68"/>
      <c r="G38" s="7"/>
      <c r="H38" s="46"/>
      <c r="I38" s="7"/>
    </row>
    <row r="39">
      <c r="A39" s="46"/>
      <c r="B39" s="46"/>
      <c r="C39" s="77"/>
      <c r="D39" s="5"/>
      <c r="E39" s="75"/>
      <c r="F39" s="68"/>
      <c r="G39" s="5"/>
      <c r="H39" s="46"/>
      <c r="I39" s="5"/>
    </row>
    <row r="40">
      <c r="A40" s="46"/>
      <c r="B40" s="46"/>
      <c r="C40" s="77"/>
      <c r="D40" s="5"/>
      <c r="E40" s="75"/>
      <c r="F40" s="68"/>
      <c r="G40" s="5"/>
      <c r="H40" s="46"/>
      <c r="I40" s="5"/>
    </row>
    <row r="41">
      <c r="A41" s="46"/>
      <c r="B41" s="46"/>
      <c r="C41" s="77"/>
      <c r="D41" s="5"/>
      <c r="E41" s="75"/>
      <c r="F41" s="68"/>
      <c r="G41" s="5"/>
      <c r="H41" s="46"/>
      <c r="I41" s="5"/>
    </row>
    <row r="42">
      <c r="A42" s="46"/>
      <c r="B42" s="46"/>
      <c r="C42" s="77"/>
      <c r="D42" s="5"/>
      <c r="E42" s="75"/>
      <c r="F42" s="68"/>
      <c r="G42" s="5"/>
      <c r="H42" s="46"/>
      <c r="I42" s="5"/>
    </row>
    <row r="43">
      <c r="A43" s="46"/>
      <c r="B43" s="46"/>
      <c r="C43" s="46"/>
      <c r="D43" s="71"/>
      <c r="E43" s="25"/>
      <c r="F43" s="68"/>
      <c r="G43" s="5"/>
      <c r="H43" s="46"/>
      <c r="I43" s="5"/>
    </row>
    <row r="44">
      <c r="A44" s="46"/>
      <c r="B44" s="46"/>
      <c r="C44" s="46"/>
      <c r="D44" s="71"/>
      <c r="E44" s="25"/>
      <c r="F44" s="68"/>
      <c r="G44" s="5"/>
      <c r="H44" s="46"/>
      <c r="I44" s="5"/>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93</v>
      </c>
      <c r="B2" s="5" t="s">
        <v>108</v>
      </c>
      <c r="C2" s="25">
        <f t="shared" ref="C2:C6" si="1">COUNTIF(I:I,A2)</f>
        <v>1</v>
      </c>
      <c r="D2" s="17">
        <f t="shared" ref="D2:D6" si="2">C2/COUNTA(I$2:I1000)</f>
        <v>0.04347826087</v>
      </c>
      <c r="E2" s="77">
        <v>1.624108197E9</v>
      </c>
      <c r="F2" s="68">
        <f>IFERROR(__xludf.DUMMYFUNCTION("INDEX(SPLIT(E2, char(10)), 0, 1)/86400+date(1970,1,1)"),44366.54857638889)</f>
        <v>44366.54858</v>
      </c>
      <c r="G2" s="46" t="s">
        <v>2146</v>
      </c>
      <c r="H2" s="46" t="s">
        <v>2147</v>
      </c>
      <c r="I2" s="46" t="s">
        <v>11</v>
      </c>
    </row>
    <row r="3">
      <c r="A3" s="5" t="s">
        <v>11</v>
      </c>
      <c r="B3" s="5" t="s">
        <v>111</v>
      </c>
      <c r="C3" s="25">
        <f t="shared" si="1"/>
        <v>4</v>
      </c>
      <c r="D3" s="17">
        <f t="shared" si="2"/>
        <v>0.1739130435</v>
      </c>
      <c r="E3" s="77">
        <v>1.624108418E9</v>
      </c>
      <c r="F3" s="68">
        <f>IFERROR(__xludf.DUMMYFUNCTION("INDEX(SPLIT(E3, char(10)), 0, 1)/86400+date(1970,1,1)"),44366.55113425926)</f>
        <v>44366.55113</v>
      </c>
      <c r="G3" s="46" t="s">
        <v>2148</v>
      </c>
      <c r="H3" s="46" t="s">
        <v>2149</v>
      </c>
      <c r="I3" s="46" t="s">
        <v>14</v>
      </c>
    </row>
    <row r="4">
      <c r="A4" s="5" t="s">
        <v>12</v>
      </c>
      <c r="B4" s="5" t="s">
        <v>114</v>
      </c>
      <c r="C4" s="25">
        <f t="shared" si="1"/>
        <v>3</v>
      </c>
      <c r="D4" s="17">
        <f t="shared" si="2"/>
        <v>0.1304347826</v>
      </c>
      <c r="E4" s="77">
        <v>1.624108519E9</v>
      </c>
      <c r="F4" s="68">
        <f>IFERROR(__xludf.DUMMYFUNCTION("INDEX(SPLIT(E4, char(10)), 0, 1)/86400+date(1970,1,1)"),44366.55230324074)</f>
        <v>44366.5523</v>
      </c>
      <c r="G4" s="46" t="s">
        <v>2150</v>
      </c>
      <c r="H4" s="46" t="s">
        <v>2151</v>
      </c>
      <c r="I4" s="46" t="s">
        <v>14</v>
      </c>
    </row>
    <row r="5">
      <c r="A5" s="5" t="s">
        <v>13</v>
      </c>
      <c r="B5" s="5" t="s">
        <v>117</v>
      </c>
      <c r="C5" s="25">
        <f t="shared" si="1"/>
        <v>5</v>
      </c>
      <c r="D5" s="17">
        <f t="shared" si="2"/>
        <v>0.2173913043</v>
      </c>
      <c r="E5" s="77">
        <v>1.624108982E9</v>
      </c>
      <c r="F5" s="68">
        <f>IFERROR(__xludf.DUMMYFUNCTION("INDEX(SPLIT(E5, char(10)), 0, 1)/86400+date(1970,1,1)"),44366.55766203704)</f>
        <v>44366.55766</v>
      </c>
      <c r="G5" s="46" t="s">
        <v>2152</v>
      </c>
      <c r="H5" s="46" t="s">
        <v>2153</v>
      </c>
      <c r="I5" s="46" t="s">
        <v>14</v>
      </c>
    </row>
    <row r="6">
      <c r="A6" s="5" t="s">
        <v>14</v>
      </c>
      <c r="B6" s="5" t="s">
        <v>120</v>
      </c>
      <c r="C6" s="25">
        <f t="shared" si="1"/>
        <v>10</v>
      </c>
      <c r="D6" s="17">
        <f t="shared" si="2"/>
        <v>0.4347826087</v>
      </c>
      <c r="E6" s="77">
        <v>1.624109438E9</v>
      </c>
      <c r="F6" s="68">
        <f>IFERROR(__xludf.DUMMYFUNCTION("INDEX(SPLIT(E6, char(10)), 0, 1)/86400+date(1970,1,1)"),44366.562939814816)</f>
        <v>44366.56294</v>
      </c>
      <c r="G6" s="46" t="s">
        <v>2154</v>
      </c>
      <c r="H6" s="46" t="s">
        <v>2155</v>
      </c>
      <c r="I6" s="46" t="s">
        <v>14</v>
      </c>
    </row>
    <row r="7">
      <c r="A7" s="5"/>
      <c r="B7" s="5" t="s">
        <v>10</v>
      </c>
      <c r="C7" s="23">
        <f t="shared" ref="C7:D7" si="3">SUM(C2:C6)</f>
        <v>23</v>
      </c>
      <c r="D7" s="70">
        <f t="shared" si="3"/>
        <v>1</v>
      </c>
      <c r="E7" s="77">
        <v>1.62410953E9</v>
      </c>
      <c r="F7" s="68">
        <f>IFERROR(__xludf.DUMMYFUNCTION("INDEX(SPLIT(E7, char(10)), 0, 1)/86400+date(1970,1,1)"),44366.56400462963)</f>
        <v>44366.564</v>
      </c>
      <c r="G7" s="46" t="s">
        <v>2156</v>
      </c>
      <c r="H7" s="46" t="s">
        <v>2157</v>
      </c>
      <c r="I7" s="46" t="s">
        <v>14</v>
      </c>
    </row>
    <row r="8">
      <c r="A8" s="71"/>
      <c r="B8" s="5" t="s">
        <v>15</v>
      </c>
      <c r="C8" s="25">
        <f t="shared" ref="C8:D8" si="4">SUM(C5:C6)</f>
        <v>15</v>
      </c>
      <c r="D8" s="17">
        <f t="shared" si="4"/>
        <v>0.652173913</v>
      </c>
      <c r="E8" s="77">
        <v>1.624109682E9</v>
      </c>
      <c r="F8" s="68">
        <f>IFERROR(__xludf.DUMMYFUNCTION("INDEX(SPLIT(E8, char(10)), 0, 1)/86400+date(1970,1,1)"),44366.56576388889)</f>
        <v>44366.56576</v>
      </c>
      <c r="G8" s="46" t="s">
        <v>2158</v>
      </c>
      <c r="H8" s="46" t="s">
        <v>2159</v>
      </c>
      <c r="I8" s="46" t="s">
        <v>14</v>
      </c>
    </row>
    <row r="9">
      <c r="A9" s="71"/>
      <c r="B9" s="5" t="s">
        <v>127</v>
      </c>
      <c r="C9" s="25">
        <f>SUM(C6:C7)</f>
        <v>33</v>
      </c>
      <c r="D9" s="17">
        <f>SUM(D5:D6) + D2</f>
        <v>0.6956521739</v>
      </c>
      <c r="E9" s="77">
        <v>1.624110416E9</v>
      </c>
      <c r="F9" s="68">
        <f>IFERROR(__xludf.DUMMYFUNCTION("INDEX(SPLIT(E9, char(10)), 0, 1)/86400+date(1970,1,1)"),44366.57425925926)</f>
        <v>44366.57426</v>
      </c>
      <c r="G9" s="46" t="s">
        <v>2160</v>
      </c>
      <c r="H9" s="46" t="s">
        <v>2161</v>
      </c>
      <c r="I9" s="46" t="s">
        <v>13</v>
      </c>
    </row>
    <row r="10">
      <c r="A10" s="71"/>
      <c r="B10" s="71"/>
      <c r="C10" s="71"/>
      <c r="D10" s="71"/>
      <c r="E10" s="77">
        <v>1.62411051E9</v>
      </c>
      <c r="F10" s="68">
        <f>IFERROR(__xludf.DUMMYFUNCTION("INDEX(SPLIT(E10, char(10)), 0, 1)/86400+date(1970,1,1)"),44366.57534722222)</f>
        <v>44366.57535</v>
      </c>
      <c r="G10" s="46" t="s">
        <v>2162</v>
      </c>
      <c r="H10" s="46" t="s">
        <v>2163</v>
      </c>
      <c r="I10" s="46" t="s">
        <v>93</v>
      </c>
    </row>
    <row r="11">
      <c r="A11" s="71"/>
      <c r="B11" s="71"/>
      <c r="C11" s="88"/>
      <c r="D11" s="71"/>
      <c r="E11" s="77">
        <v>1.624110927E9</v>
      </c>
      <c r="F11" s="68">
        <f>IFERROR(__xludf.DUMMYFUNCTION("INDEX(SPLIT(E11, char(10)), 0, 1)/86400+date(1970,1,1)"),44366.58017361111)</f>
        <v>44366.58017</v>
      </c>
      <c r="G11" s="46" t="s">
        <v>2164</v>
      </c>
      <c r="H11" s="46" t="s">
        <v>2165</v>
      </c>
      <c r="I11" s="46" t="s">
        <v>12</v>
      </c>
    </row>
    <row r="12">
      <c r="A12" s="13" t="s">
        <v>134</v>
      </c>
      <c r="B12" s="102" t="s">
        <v>2166</v>
      </c>
      <c r="C12" s="88"/>
      <c r="D12" s="71"/>
      <c r="E12" s="77">
        <v>1.624111224E9</v>
      </c>
      <c r="F12" s="68">
        <f>IFERROR(__xludf.DUMMYFUNCTION("INDEX(SPLIT(E12, char(10)), 0, 1)/86400+date(1970,1,1)"),44366.58361111111)</f>
        <v>44366.58361</v>
      </c>
      <c r="G12" s="46" t="s">
        <v>2167</v>
      </c>
      <c r="H12" s="46" t="s">
        <v>2168</v>
      </c>
      <c r="I12" s="46" t="s">
        <v>12</v>
      </c>
    </row>
    <row r="13">
      <c r="A13" s="13" t="s">
        <v>138</v>
      </c>
      <c r="B13" s="71"/>
      <c r="C13" s="13" t="s">
        <v>101</v>
      </c>
      <c r="D13" s="13" t="s">
        <v>102</v>
      </c>
      <c r="E13" s="77">
        <v>1.624111894E9</v>
      </c>
      <c r="F13" s="68">
        <f>IFERROR(__xludf.DUMMYFUNCTION("INDEX(SPLIT(E13, char(10)), 0, 1)/86400+date(1970,1,1)"),44366.59136574074)</f>
        <v>44366.59137</v>
      </c>
      <c r="G13" s="46" t="s">
        <v>2169</v>
      </c>
      <c r="H13" s="46" t="s">
        <v>2170</v>
      </c>
      <c r="I13" s="46" t="s">
        <v>14</v>
      </c>
    </row>
    <row r="14">
      <c r="A14" s="5" t="s">
        <v>141</v>
      </c>
      <c r="B14" s="5" t="s">
        <v>142</v>
      </c>
      <c r="C14" s="23">
        <f t="shared" ref="C14:C17" si="5">COUNTIF($A$19:$A1000, A14)</f>
        <v>2</v>
      </c>
      <c r="D14" s="17">
        <f>IFERROR(__xludf.DUMMYFUNCTION("IF(C14, COUNTIF(FILTER($D$19:$D1000, $A$19:$A1000=A14), TRUE)/C14, 0)"),1.0)</f>
        <v>1</v>
      </c>
      <c r="E14" s="77">
        <v>1.624112031E9</v>
      </c>
      <c r="F14" s="68">
        <f>IFERROR(__xludf.DUMMYFUNCTION("INDEX(SPLIT(E14, char(10)), 0, 1)/86400+date(1970,1,1)"),44366.592951388884)</f>
        <v>44366.59295</v>
      </c>
      <c r="G14" s="46" t="s">
        <v>2039</v>
      </c>
      <c r="H14" s="46" t="s">
        <v>2171</v>
      </c>
      <c r="I14" s="46" t="s">
        <v>11</v>
      </c>
    </row>
    <row r="15">
      <c r="A15" s="5" t="s">
        <v>3</v>
      </c>
      <c r="B15" s="5" t="s">
        <v>145</v>
      </c>
      <c r="C15" s="23">
        <f t="shared" si="5"/>
        <v>2</v>
      </c>
      <c r="D15" s="17">
        <f>IFERROR(__xludf.DUMMYFUNCTION("IF(C15, COUNTIF(FILTER($D$19:$D1000, $A$19:$A1000=A15), TRUE)/C15, 0)"),0.0)</f>
        <v>0</v>
      </c>
      <c r="E15" s="77">
        <v>1.624112126E9</v>
      </c>
      <c r="F15" s="68">
        <f>IFERROR(__xludf.DUMMYFUNCTION("INDEX(SPLIT(E15, char(10)), 0, 1)/86400+date(1970,1,1)"),44366.59405092592)</f>
        <v>44366.59405</v>
      </c>
      <c r="G15" s="46" t="s">
        <v>2172</v>
      </c>
      <c r="H15" s="46" t="s">
        <v>2173</v>
      </c>
      <c r="I15" s="46" t="s">
        <v>12</v>
      </c>
    </row>
    <row r="16">
      <c r="A16" s="5" t="s">
        <v>4</v>
      </c>
      <c r="B16" s="5" t="s">
        <v>148</v>
      </c>
      <c r="C16" s="23">
        <f t="shared" si="5"/>
        <v>4</v>
      </c>
      <c r="D16" s="17">
        <f>IFERROR(__xludf.DUMMYFUNCTION("IF(C16, COUNTIF(FILTER($D$19:$D1000, $A$19:$A1000=A16), TRUE)/C16, 0)"),0.25)</f>
        <v>0.25</v>
      </c>
      <c r="E16" s="77">
        <v>1.624112232E9</v>
      </c>
      <c r="F16" s="68">
        <f>IFERROR(__xludf.DUMMYFUNCTION("INDEX(SPLIT(E16, char(10)), 0, 1)/86400+date(1970,1,1)"),44366.59527777778)</f>
        <v>44366.59528</v>
      </c>
      <c r="G16" s="46" t="s">
        <v>2174</v>
      </c>
      <c r="H16" s="46" t="s">
        <v>2175</v>
      </c>
      <c r="I16" s="46" t="s">
        <v>11</v>
      </c>
    </row>
    <row r="17">
      <c r="A17" s="5" t="s">
        <v>5</v>
      </c>
      <c r="B17" s="5" t="s">
        <v>151</v>
      </c>
      <c r="C17" s="23">
        <f t="shared" si="5"/>
        <v>7</v>
      </c>
      <c r="D17" s="17">
        <f>IFERROR(__xludf.DUMMYFUNCTION("IF(C17, COUNTIF(FILTER($D$19:$D1000, $A$19:$A1000=A17), TRUE)/C17, 0)"),0.42857142857142855)</f>
        <v>0.4285714286</v>
      </c>
      <c r="E17" s="77">
        <v>1.624112457E9</v>
      </c>
      <c r="F17" s="68">
        <f>IFERROR(__xludf.DUMMYFUNCTION("INDEX(SPLIT(E17, char(10)), 0, 1)/86400+date(1970,1,1)"),44366.59788194444)</f>
        <v>44366.59788</v>
      </c>
      <c r="G17" s="46" t="s">
        <v>2176</v>
      </c>
      <c r="H17" s="46" t="s">
        <v>2177</v>
      </c>
      <c r="I17" s="46" t="s">
        <v>14</v>
      </c>
    </row>
    <row r="18">
      <c r="A18" s="71"/>
      <c r="B18" s="13" t="s">
        <v>6</v>
      </c>
      <c r="C18" s="23">
        <f>SUM(C14:C17)</f>
        <v>15</v>
      </c>
      <c r="D18" s="17">
        <f>COUNTIF($D$19:$D1000, TRUE)/SUM($C$14:$C$17)</f>
        <v>0.4</v>
      </c>
      <c r="E18" s="77">
        <v>1.624112566E9</v>
      </c>
      <c r="F18" s="68">
        <f>IFERROR(__xludf.DUMMYFUNCTION("INDEX(SPLIT(E18, char(10)), 0, 1)/86400+date(1970,1,1)"),44366.59914351851)</f>
        <v>44366.59914</v>
      </c>
      <c r="G18" s="46" t="s">
        <v>2089</v>
      </c>
      <c r="H18" s="46" t="s">
        <v>2178</v>
      </c>
      <c r="I18" s="46" t="s">
        <v>11</v>
      </c>
    </row>
    <row r="19">
      <c r="A19" s="13" t="s">
        <v>107</v>
      </c>
      <c r="B19" s="13" t="s">
        <v>156</v>
      </c>
      <c r="C19" s="13" t="s">
        <v>157</v>
      </c>
      <c r="D19" s="13" t="s">
        <v>158</v>
      </c>
      <c r="E19" s="77">
        <v>1.624112734E9</v>
      </c>
      <c r="F19" s="68">
        <f>IFERROR(__xludf.DUMMYFUNCTION("INDEX(SPLIT(E19, char(10)), 0, 1)/86400+date(1970,1,1)"),44366.60108796296)</f>
        <v>44366.60109</v>
      </c>
      <c r="G19" s="46" t="s">
        <v>2179</v>
      </c>
      <c r="H19" s="46" t="s">
        <v>2180</v>
      </c>
      <c r="I19" s="46" t="s">
        <v>13</v>
      </c>
    </row>
    <row r="20">
      <c r="A20" s="5" t="s">
        <v>4</v>
      </c>
      <c r="B20" s="5" t="s">
        <v>161</v>
      </c>
      <c r="C20" s="25">
        <v>1.0</v>
      </c>
      <c r="D20" s="79" t="b">
        <v>0</v>
      </c>
      <c r="E20" s="77">
        <v>1.624112836E9</v>
      </c>
      <c r="F20" s="68">
        <f>IFERROR(__xludf.DUMMYFUNCTION("INDEX(SPLIT(E20, char(10)), 0, 1)/86400+date(1970,1,1)"),44366.602268518516)</f>
        <v>44366.60227</v>
      </c>
      <c r="G20" s="46" t="s">
        <v>2181</v>
      </c>
      <c r="H20" s="46" t="s">
        <v>2182</v>
      </c>
      <c r="I20" s="46" t="s">
        <v>14</v>
      </c>
    </row>
    <row r="21">
      <c r="A21" s="5" t="s">
        <v>3</v>
      </c>
      <c r="B21" s="5" t="s">
        <v>2066</v>
      </c>
      <c r="C21" s="25">
        <v>10.0</v>
      </c>
      <c r="D21" s="79" t="b">
        <v>0</v>
      </c>
      <c r="E21" s="77">
        <v>1.624112936E9</v>
      </c>
      <c r="F21" s="68">
        <f>IFERROR(__xludf.DUMMYFUNCTION("INDEX(SPLIT(E21, char(10)), 0, 1)/86400+date(1970,1,1)"),44366.603425925925)</f>
        <v>44366.60343</v>
      </c>
      <c r="G21" s="46" t="s">
        <v>2183</v>
      </c>
      <c r="H21" s="46" t="s">
        <v>2184</v>
      </c>
      <c r="I21" s="46" t="s">
        <v>14</v>
      </c>
    </row>
    <row r="22">
      <c r="A22" s="5" t="s">
        <v>5</v>
      </c>
      <c r="B22" s="5" t="s">
        <v>2069</v>
      </c>
      <c r="C22" s="25">
        <v>26.0</v>
      </c>
      <c r="D22" s="79" t="b">
        <v>0</v>
      </c>
      <c r="E22" s="77">
        <v>1.62411335E9</v>
      </c>
      <c r="F22" s="68">
        <f>IFERROR(__xludf.DUMMYFUNCTION("INDEX(SPLIT(E22, char(10)), 0, 1)/86400+date(1970,1,1)"),44366.60821759259)</f>
        <v>44366.60822</v>
      </c>
      <c r="G22" s="46" t="s">
        <v>2185</v>
      </c>
      <c r="H22" s="46" t="s">
        <v>2186</v>
      </c>
      <c r="I22" s="46" t="s">
        <v>13</v>
      </c>
    </row>
    <row r="23">
      <c r="A23" s="5" t="s">
        <v>141</v>
      </c>
      <c r="B23" s="5" t="s">
        <v>2072</v>
      </c>
      <c r="C23" s="25">
        <v>45.0</v>
      </c>
      <c r="D23" s="79" t="b">
        <v>1</v>
      </c>
      <c r="E23" s="77">
        <v>1.624114035E9</v>
      </c>
      <c r="F23" s="68">
        <f>IFERROR(__xludf.DUMMYFUNCTION("INDEX(SPLIT(E23, char(10)), 0, 1)/86400+date(1970,1,1)"),44366.61614583334)</f>
        <v>44366.61615</v>
      </c>
      <c r="G23" s="46" t="s">
        <v>2187</v>
      </c>
      <c r="H23" s="46" t="s">
        <v>2188</v>
      </c>
      <c r="I23" s="46" t="s">
        <v>13</v>
      </c>
    </row>
    <row r="24">
      <c r="A24" s="5" t="s">
        <v>4</v>
      </c>
      <c r="B24" s="5" t="s">
        <v>167</v>
      </c>
      <c r="C24" s="25">
        <v>45.0</v>
      </c>
      <c r="D24" s="79" t="b">
        <v>0</v>
      </c>
      <c r="E24" s="77">
        <v>1.624114564E9</v>
      </c>
      <c r="F24" s="68">
        <f>IFERROR(__xludf.DUMMYFUNCTION("INDEX(SPLIT(E24, char(10)), 0, 1)/86400+date(1970,1,1)"),44366.62226851852)</f>
        <v>44366.62227</v>
      </c>
      <c r="G24" s="46" t="s">
        <v>2189</v>
      </c>
      <c r="H24" s="46" t="s">
        <v>2190</v>
      </c>
      <c r="I24" s="46" t="s">
        <v>13</v>
      </c>
    </row>
    <row r="25">
      <c r="A25" s="5" t="s">
        <v>4</v>
      </c>
      <c r="B25" s="71" t="s">
        <v>170</v>
      </c>
      <c r="C25" s="25">
        <v>46.0</v>
      </c>
      <c r="D25" s="79" t="b">
        <v>0</v>
      </c>
      <c r="E25" s="77"/>
      <c r="F25" s="68"/>
      <c r="G25" s="46"/>
      <c r="H25" s="46"/>
      <c r="I25" s="7"/>
    </row>
    <row r="26">
      <c r="A26" s="5" t="s">
        <v>3</v>
      </c>
      <c r="B26" s="71" t="s">
        <v>2079</v>
      </c>
      <c r="C26" s="25">
        <v>52.0</v>
      </c>
      <c r="D26" s="79" t="b">
        <v>0</v>
      </c>
      <c r="E26" s="67"/>
      <c r="F26" s="68"/>
      <c r="G26" s="7"/>
      <c r="H26" s="46"/>
      <c r="I26" s="7"/>
    </row>
    <row r="27">
      <c r="A27" s="5" t="s">
        <v>5</v>
      </c>
      <c r="B27" s="71" t="s">
        <v>2082</v>
      </c>
      <c r="C27" s="25">
        <v>57.0</v>
      </c>
      <c r="D27" s="79" t="b">
        <v>0</v>
      </c>
      <c r="E27" s="67"/>
      <c r="F27" s="68"/>
      <c r="G27" s="7"/>
      <c r="H27" s="46"/>
      <c r="I27" s="7"/>
    </row>
    <row r="28">
      <c r="A28" s="5" t="s">
        <v>141</v>
      </c>
      <c r="B28" s="71" t="s">
        <v>2085</v>
      </c>
      <c r="C28" s="25">
        <v>66.0</v>
      </c>
      <c r="D28" s="79" t="b">
        <v>1</v>
      </c>
      <c r="E28" s="67"/>
      <c r="F28" s="68"/>
      <c r="G28" s="7"/>
      <c r="H28" s="46"/>
      <c r="I28" s="7"/>
    </row>
    <row r="29">
      <c r="A29" s="5" t="s">
        <v>5</v>
      </c>
      <c r="B29" s="71" t="s">
        <v>2088</v>
      </c>
      <c r="C29" s="25">
        <v>75.0</v>
      </c>
      <c r="D29" s="79" t="b">
        <v>0</v>
      </c>
      <c r="E29" s="67"/>
      <c r="F29" s="68"/>
      <c r="G29" s="7"/>
      <c r="H29" s="46"/>
      <c r="I29" s="7"/>
    </row>
    <row r="30">
      <c r="A30" s="5" t="s">
        <v>5</v>
      </c>
      <c r="B30" s="71" t="s">
        <v>2091</v>
      </c>
      <c r="C30" s="25">
        <v>76.0</v>
      </c>
      <c r="D30" s="79" t="b">
        <v>1</v>
      </c>
      <c r="E30" s="67"/>
      <c r="F30" s="68"/>
      <c r="G30" s="7"/>
      <c r="H30" s="46"/>
      <c r="I30" s="7"/>
    </row>
    <row r="31">
      <c r="A31" s="5" t="s">
        <v>5</v>
      </c>
      <c r="B31" s="71" t="s">
        <v>2094</v>
      </c>
      <c r="C31" s="25">
        <v>76.0</v>
      </c>
      <c r="D31" s="79" t="b">
        <v>1</v>
      </c>
      <c r="E31" s="67"/>
      <c r="F31" s="68"/>
      <c r="G31" s="7"/>
      <c r="H31" s="46"/>
      <c r="I31" s="7"/>
    </row>
    <row r="32">
      <c r="A32" s="5" t="s">
        <v>5</v>
      </c>
      <c r="B32" s="71" t="s">
        <v>2097</v>
      </c>
      <c r="C32" s="25">
        <v>84.0</v>
      </c>
      <c r="D32" s="79" t="b">
        <v>0</v>
      </c>
      <c r="E32" s="67"/>
      <c r="F32" s="68"/>
      <c r="G32" s="7"/>
      <c r="H32" s="46"/>
      <c r="I32" s="7"/>
    </row>
    <row r="33">
      <c r="A33" s="5" t="s">
        <v>5</v>
      </c>
      <c r="B33" s="71" t="s">
        <v>2100</v>
      </c>
      <c r="C33" s="25">
        <v>87.0</v>
      </c>
      <c r="D33" s="79" t="b">
        <v>1</v>
      </c>
      <c r="E33" s="67"/>
      <c r="F33" s="68"/>
      <c r="G33" s="7"/>
      <c r="H33" s="46"/>
      <c r="I33" s="7"/>
    </row>
    <row r="34">
      <c r="A34" s="5" t="s">
        <v>4</v>
      </c>
      <c r="B34" s="71" t="s">
        <v>195</v>
      </c>
      <c r="C34" s="25">
        <v>90.0</v>
      </c>
      <c r="D34" s="79" t="b">
        <v>1</v>
      </c>
      <c r="E34" s="67"/>
      <c r="F34" s="68"/>
      <c r="G34" s="7"/>
      <c r="H34" s="46"/>
      <c r="I34" s="7"/>
    </row>
    <row r="35">
      <c r="A35" s="5"/>
      <c r="B35" s="71"/>
      <c r="C35" s="25"/>
      <c r="D35" s="5"/>
      <c r="E35" s="67"/>
      <c r="F35" s="68"/>
      <c r="G35" s="7"/>
      <c r="H35" s="46"/>
      <c r="I35" s="7"/>
    </row>
    <row r="36">
      <c r="A36" s="46"/>
      <c r="B36" s="46"/>
      <c r="C36" s="77"/>
      <c r="D36" s="5"/>
      <c r="E36" s="67"/>
      <c r="F36" s="68"/>
      <c r="G36" s="7"/>
      <c r="H36" s="46"/>
      <c r="I36" s="7"/>
    </row>
    <row r="37">
      <c r="A37" s="46"/>
      <c r="B37" s="46"/>
      <c r="C37" s="77"/>
      <c r="D37" s="5"/>
      <c r="E37" s="67"/>
      <c r="F37" s="68"/>
      <c r="G37" s="7"/>
      <c r="H37" s="46"/>
      <c r="I37" s="7"/>
    </row>
    <row r="38">
      <c r="A38" s="46"/>
      <c r="B38" s="46"/>
      <c r="C38" s="77"/>
      <c r="D38" s="5"/>
      <c r="E38" s="67"/>
      <c r="F38" s="68"/>
      <c r="G38" s="7"/>
      <c r="H38" s="46"/>
      <c r="I38" s="7"/>
    </row>
    <row r="39">
      <c r="A39" s="46"/>
      <c r="B39" s="46"/>
      <c r="C39" s="77"/>
      <c r="D39" s="5"/>
      <c r="E39" s="75"/>
      <c r="F39" s="68"/>
      <c r="G39" s="5"/>
      <c r="H39" s="46"/>
      <c r="I39" s="5"/>
    </row>
    <row r="40">
      <c r="A40" s="46"/>
      <c r="B40" s="46"/>
      <c r="C40" s="77"/>
      <c r="D40" s="5"/>
      <c r="E40" s="75"/>
      <c r="F40" s="68"/>
      <c r="G40" s="5"/>
      <c r="H40" s="46"/>
      <c r="I40" s="5"/>
    </row>
    <row r="41">
      <c r="A41" s="46"/>
      <c r="B41" s="46"/>
      <c r="C41" s="77"/>
      <c r="D41" s="5"/>
      <c r="E41" s="75"/>
      <c r="F41" s="68"/>
      <c r="G41" s="5"/>
      <c r="H41" s="46"/>
      <c r="I41" s="5"/>
    </row>
    <row r="42">
      <c r="A42" s="46"/>
      <c r="B42" s="46"/>
      <c r="C42" s="77"/>
      <c r="D42" s="5"/>
      <c r="E42" s="75"/>
      <c r="F42" s="68"/>
      <c r="G42" s="5"/>
      <c r="H42" s="46"/>
      <c r="I42" s="5"/>
    </row>
    <row r="43">
      <c r="A43" s="46"/>
      <c r="B43" s="46"/>
      <c r="C43" s="46"/>
      <c r="D43" s="71"/>
      <c r="E43" s="25"/>
      <c r="F43" s="68"/>
      <c r="G43" s="5"/>
      <c r="H43" s="46"/>
      <c r="I43" s="5"/>
    </row>
    <row r="44">
      <c r="A44" s="46"/>
      <c r="B44" s="46"/>
      <c r="C44" s="46"/>
      <c r="D44" s="71"/>
      <c r="E44" s="25"/>
      <c r="F44" s="68"/>
      <c r="G44" s="5"/>
      <c r="H44" s="46"/>
      <c r="I44" s="5"/>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2</v>
      </c>
      <c r="D2" s="17">
        <f t="shared" ref="D2:D6" si="2">C2/COUNTA(I$2:I1000)</f>
        <v>0.05405405405</v>
      </c>
      <c r="E2" s="77">
        <v>1.624107647E9</v>
      </c>
      <c r="F2" s="78">
        <v>44366.54221064815</v>
      </c>
      <c r="G2" s="46" t="s">
        <v>2191</v>
      </c>
      <c r="H2" s="46" t="s">
        <v>2192</v>
      </c>
      <c r="I2" s="46" t="s">
        <v>13</v>
      </c>
    </row>
    <row r="3">
      <c r="A3" s="5" t="s">
        <v>11</v>
      </c>
      <c r="B3" s="5" t="s">
        <v>111</v>
      </c>
      <c r="C3" s="25">
        <f t="shared" si="1"/>
        <v>4</v>
      </c>
      <c r="D3" s="17">
        <f t="shared" si="2"/>
        <v>0.1081081081</v>
      </c>
      <c r="E3" s="77">
        <v>1.624108225E9</v>
      </c>
      <c r="F3" s="78">
        <v>44366.54890046296</v>
      </c>
      <c r="G3" s="46" t="s">
        <v>2193</v>
      </c>
      <c r="H3" s="46" t="s">
        <v>2194</v>
      </c>
      <c r="I3" s="46" t="s">
        <v>13</v>
      </c>
    </row>
    <row r="4">
      <c r="A4" s="5" t="s">
        <v>12</v>
      </c>
      <c r="B4" s="5" t="s">
        <v>114</v>
      </c>
      <c r="C4" s="25">
        <f t="shared" si="1"/>
        <v>6</v>
      </c>
      <c r="D4" s="17">
        <f t="shared" si="2"/>
        <v>0.1621621622</v>
      </c>
      <c r="E4" s="77">
        <v>1.624108426E9</v>
      </c>
      <c r="F4" s="78">
        <v>44366.55122685185</v>
      </c>
      <c r="G4" s="46" t="s">
        <v>2195</v>
      </c>
      <c r="H4" s="46" t="s">
        <v>2196</v>
      </c>
      <c r="I4" s="46" t="s">
        <v>14</v>
      </c>
    </row>
    <row r="5">
      <c r="A5" s="5" t="s">
        <v>13</v>
      </c>
      <c r="B5" s="5" t="s">
        <v>117</v>
      </c>
      <c r="C5" s="25">
        <f t="shared" si="1"/>
        <v>9</v>
      </c>
      <c r="D5" s="17">
        <f t="shared" si="2"/>
        <v>0.2432432432</v>
      </c>
      <c r="E5" s="77">
        <v>1.624108555E9</v>
      </c>
      <c r="F5" s="78">
        <v>44366.552719907406</v>
      </c>
      <c r="G5" s="46" t="s">
        <v>2197</v>
      </c>
      <c r="H5" s="46" t="s">
        <v>2198</v>
      </c>
      <c r="I5" s="46" t="s">
        <v>14</v>
      </c>
    </row>
    <row r="6">
      <c r="A6" s="5" t="s">
        <v>14</v>
      </c>
      <c r="B6" s="5" t="s">
        <v>120</v>
      </c>
      <c r="C6" s="25">
        <f t="shared" si="1"/>
        <v>16</v>
      </c>
      <c r="D6" s="17">
        <f t="shared" si="2"/>
        <v>0.4324324324</v>
      </c>
      <c r="E6" s="77">
        <v>1.624108657E9</v>
      </c>
      <c r="F6" s="78">
        <v>44366.55390046296</v>
      </c>
      <c r="G6" s="46" t="s">
        <v>2199</v>
      </c>
      <c r="H6" s="46" t="s">
        <v>2200</v>
      </c>
      <c r="I6" s="46" t="s">
        <v>14</v>
      </c>
    </row>
    <row r="7">
      <c r="A7" s="5"/>
      <c r="B7" s="5" t="s">
        <v>10</v>
      </c>
      <c r="C7" s="23">
        <f t="shared" ref="C7:D7" si="3">SUM(C2:C6)</f>
        <v>37</v>
      </c>
      <c r="D7" s="70">
        <f t="shared" si="3"/>
        <v>1</v>
      </c>
      <c r="E7" s="77">
        <v>1.624109207E9</v>
      </c>
      <c r="F7" s="78">
        <v>44366.560266203705</v>
      </c>
      <c r="G7" s="46" t="s">
        <v>2201</v>
      </c>
      <c r="H7" s="46" t="s">
        <v>2202</v>
      </c>
      <c r="I7" s="46" t="s">
        <v>14</v>
      </c>
    </row>
    <row r="8">
      <c r="A8" s="71"/>
      <c r="B8" s="5" t="s">
        <v>15</v>
      </c>
      <c r="C8" s="25">
        <f t="shared" ref="C8:D8" si="4">SUM(C5:C6)</f>
        <v>25</v>
      </c>
      <c r="D8" s="17">
        <f t="shared" si="4"/>
        <v>0.6756756757</v>
      </c>
      <c r="E8" s="77">
        <v>1.624109441E9</v>
      </c>
      <c r="F8" s="78">
        <v>44366.56297453704</v>
      </c>
      <c r="G8" s="46" t="s">
        <v>2203</v>
      </c>
      <c r="H8" s="46" t="s">
        <v>2204</v>
      </c>
      <c r="I8" s="46" t="s">
        <v>11</v>
      </c>
    </row>
    <row r="9">
      <c r="A9" s="71"/>
      <c r="B9" s="5" t="s">
        <v>127</v>
      </c>
      <c r="C9" s="25">
        <f>C2+C5+C6</f>
        <v>27</v>
      </c>
      <c r="D9" s="17">
        <f>SUM(D5:D6) + D2</f>
        <v>0.7297297297</v>
      </c>
      <c r="E9" s="77">
        <v>1.62410954E9</v>
      </c>
      <c r="F9" s="78">
        <v>44366.56412037037</v>
      </c>
      <c r="G9" s="46" t="s">
        <v>2205</v>
      </c>
      <c r="H9" s="46" t="s">
        <v>2206</v>
      </c>
      <c r="I9" s="46" t="s">
        <v>14</v>
      </c>
    </row>
    <row r="10">
      <c r="A10" s="71"/>
      <c r="B10" s="71"/>
      <c r="C10" s="71"/>
      <c r="D10" s="71"/>
      <c r="E10" s="77">
        <v>1.624109755E9</v>
      </c>
      <c r="F10" s="78">
        <v>44366.566608796296</v>
      </c>
      <c r="G10" s="46" t="s">
        <v>2207</v>
      </c>
      <c r="H10" s="46" t="s">
        <v>2208</v>
      </c>
      <c r="I10" s="46" t="s">
        <v>14</v>
      </c>
    </row>
    <row r="11">
      <c r="A11" s="71"/>
      <c r="B11" s="71"/>
      <c r="C11" s="71"/>
      <c r="D11" s="71"/>
      <c r="E11" s="77">
        <v>1.624109911E9</v>
      </c>
      <c r="F11" s="78">
        <v>44366.56841435185</v>
      </c>
      <c r="G11" s="46" t="s">
        <v>1499</v>
      </c>
      <c r="H11" s="46" t="s">
        <v>2209</v>
      </c>
      <c r="I11" s="46" t="s">
        <v>14</v>
      </c>
    </row>
    <row r="12">
      <c r="A12" s="13" t="s">
        <v>134</v>
      </c>
      <c r="B12" s="104" t="s">
        <v>2210</v>
      </c>
      <c r="C12" s="71"/>
      <c r="D12" s="71"/>
      <c r="E12" s="77">
        <v>1.624110206E9</v>
      </c>
      <c r="F12" s="78">
        <v>44366.5718287037</v>
      </c>
      <c r="G12" s="46" t="s">
        <v>2211</v>
      </c>
      <c r="H12" s="46" t="s">
        <v>2212</v>
      </c>
      <c r="I12" s="46" t="s">
        <v>11</v>
      </c>
    </row>
    <row r="13">
      <c r="A13" s="13" t="s">
        <v>138</v>
      </c>
      <c r="B13" s="71"/>
      <c r="C13" s="13" t="s">
        <v>101</v>
      </c>
      <c r="D13" s="13" t="s">
        <v>102</v>
      </c>
      <c r="E13" s="77">
        <v>1.624110398E9</v>
      </c>
      <c r="F13" s="78">
        <v>44366.57405092593</v>
      </c>
      <c r="G13" s="46" t="s">
        <v>2213</v>
      </c>
      <c r="H13" s="46" t="s">
        <v>2214</v>
      </c>
      <c r="I13" s="46" t="s">
        <v>13</v>
      </c>
    </row>
    <row r="14">
      <c r="A14" s="5" t="s">
        <v>141</v>
      </c>
      <c r="B14" s="5" t="s">
        <v>142</v>
      </c>
      <c r="C14" s="23">
        <f t="shared" ref="C14:C17" si="5">COUNTIF($A$19:$A1000, A14)</f>
        <v>2</v>
      </c>
      <c r="D14" s="17">
        <f>IFERROR(__xludf.DUMMYFUNCTION("IF(C14, COUNTIF(FILTER($D$19:$D1000, $A$19:$A1000=A14), TRUE)/C14, 0)"),1.0)</f>
        <v>1</v>
      </c>
      <c r="E14" s="77">
        <v>1.624110489E9</v>
      </c>
      <c r="F14" s="78">
        <v>44366.575104166666</v>
      </c>
      <c r="G14" s="46" t="s">
        <v>2215</v>
      </c>
      <c r="H14" s="46" t="s">
        <v>2216</v>
      </c>
      <c r="I14" s="46" t="s">
        <v>14</v>
      </c>
    </row>
    <row r="15">
      <c r="A15" s="5" t="s">
        <v>3</v>
      </c>
      <c r="B15" s="5" t="s">
        <v>145</v>
      </c>
      <c r="C15" s="23">
        <f t="shared" si="5"/>
        <v>2</v>
      </c>
      <c r="D15" s="17">
        <f>IFERROR(__xludf.DUMMYFUNCTION("IF(C15, COUNTIF(FILTER($D$19:$D1000, $A$19:$A1000=A15), TRUE)/C15, 0)"),0.5)</f>
        <v>0.5</v>
      </c>
      <c r="E15" s="77">
        <v>1.62411062E9</v>
      </c>
      <c r="F15" s="78">
        <v>44366.57662037037</v>
      </c>
      <c r="G15" s="46" t="s">
        <v>2217</v>
      </c>
      <c r="H15" s="46" t="s">
        <v>2218</v>
      </c>
      <c r="I15" s="46" t="s">
        <v>14</v>
      </c>
    </row>
    <row r="16">
      <c r="A16" s="5" t="s">
        <v>4</v>
      </c>
      <c r="B16" s="5" t="s">
        <v>148</v>
      </c>
      <c r="C16" s="23">
        <f t="shared" si="5"/>
        <v>4</v>
      </c>
      <c r="D16" s="17">
        <f>IFERROR(__xludf.DUMMYFUNCTION("IF(C16, COUNTIF(FILTER($D$19:$D1000, $A$19:$A1000=A16), TRUE)/C16, 0)"),0.5)</f>
        <v>0.5</v>
      </c>
      <c r="E16" s="77">
        <v>1.624110768E9</v>
      </c>
      <c r="F16" s="78">
        <v>44366.57833333333</v>
      </c>
      <c r="G16" s="46" t="s">
        <v>2219</v>
      </c>
      <c r="H16" s="46" t="s">
        <v>2220</v>
      </c>
      <c r="I16" s="46" t="s">
        <v>14</v>
      </c>
    </row>
    <row r="17">
      <c r="A17" s="5" t="s">
        <v>5</v>
      </c>
      <c r="B17" s="5" t="s">
        <v>151</v>
      </c>
      <c r="C17" s="23">
        <f t="shared" si="5"/>
        <v>7</v>
      </c>
      <c r="D17" s="17">
        <f>IFERROR(__xludf.DUMMYFUNCTION("IF(C17, COUNTIF(FILTER($D$19:$D1000, $A$19:$A1000=A17), TRUE)/C17, 0)"),0.5714285714285714)</f>
        <v>0.5714285714</v>
      </c>
      <c r="E17" s="77">
        <v>1.624110915E9</v>
      </c>
      <c r="F17" s="78">
        <v>44366.580034722225</v>
      </c>
      <c r="G17" s="46" t="s">
        <v>2221</v>
      </c>
      <c r="H17" s="46" t="s">
        <v>2222</v>
      </c>
      <c r="I17" s="46" t="s">
        <v>11</v>
      </c>
    </row>
    <row r="18">
      <c r="A18" s="71"/>
      <c r="B18" s="13" t="s">
        <v>6</v>
      </c>
      <c r="C18" s="23">
        <f>SUM(C14:C17)</f>
        <v>15</v>
      </c>
      <c r="D18" s="17">
        <f>COUNTIF($D$19:$D1000, TRUE)/SUM($C$14:$C$17)</f>
        <v>0.6</v>
      </c>
      <c r="E18" s="77">
        <v>1.624111226E9</v>
      </c>
      <c r="F18" s="78">
        <v>44366.58363425926</v>
      </c>
      <c r="G18" s="46" t="s">
        <v>2223</v>
      </c>
      <c r="H18" s="46" t="s">
        <v>2224</v>
      </c>
      <c r="I18" s="46" t="s">
        <v>11</v>
      </c>
    </row>
    <row r="19">
      <c r="A19" s="13" t="s">
        <v>107</v>
      </c>
      <c r="B19" s="13" t="s">
        <v>156</v>
      </c>
      <c r="C19" s="13" t="s">
        <v>157</v>
      </c>
      <c r="D19" s="13" t="s">
        <v>158</v>
      </c>
      <c r="E19" s="77">
        <v>1.624111635E9</v>
      </c>
      <c r="F19" s="78">
        <v>44366.588368055556</v>
      </c>
      <c r="G19" s="46" t="s">
        <v>2225</v>
      </c>
      <c r="H19" s="46" t="s">
        <v>2226</v>
      </c>
      <c r="I19" s="46" t="s">
        <v>93</v>
      </c>
    </row>
    <row r="20">
      <c r="A20" s="5" t="s">
        <v>4</v>
      </c>
      <c r="B20" s="5" t="s">
        <v>161</v>
      </c>
      <c r="C20" s="25">
        <v>1.0</v>
      </c>
      <c r="D20" s="96" t="b">
        <v>1</v>
      </c>
      <c r="E20" s="77">
        <v>1.624111836E9</v>
      </c>
      <c r="F20" s="78">
        <v>44366.59069444444</v>
      </c>
      <c r="G20" s="46" t="s">
        <v>2227</v>
      </c>
      <c r="H20" s="46" t="s">
        <v>2228</v>
      </c>
      <c r="I20" s="46" t="s">
        <v>12</v>
      </c>
    </row>
    <row r="21">
      <c r="A21" s="5" t="s">
        <v>3</v>
      </c>
      <c r="B21" s="5" t="s">
        <v>2066</v>
      </c>
      <c r="C21" s="25">
        <v>10.0</v>
      </c>
      <c r="D21" s="96" t="b">
        <v>1</v>
      </c>
      <c r="E21" s="77">
        <v>1.62411206E9</v>
      </c>
      <c r="F21" s="78">
        <v>44366.59328703704</v>
      </c>
      <c r="G21" s="46" t="s">
        <v>2229</v>
      </c>
      <c r="H21" s="46" t="s">
        <v>2230</v>
      </c>
      <c r="I21" s="46" t="s">
        <v>14</v>
      </c>
    </row>
    <row r="22">
      <c r="A22" s="5" t="s">
        <v>5</v>
      </c>
      <c r="B22" s="5" t="s">
        <v>2069</v>
      </c>
      <c r="C22" s="25">
        <v>26.0</v>
      </c>
      <c r="D22" s="96" t="b">
        <v>0</v>
      </c>
      <c r="E22" s="77">
        <v>1.624112246E9</v>
      </c>
      <c r="F22" s="78">
        <v>44366.59543981482</v>
      </c>
      <c r="G22" s="46" t="s">
        <v>2231</v>
      </c>
      <c r="H22" s="46" t="s">
        <v>2232</v>
      </c>
      <c r="I22" s="46" t="s">
        <v>13</v>
      </c>
    </row>
    <row r="23">
      <c r="A23" s="5" t="s">
        <v>141</v>
      </c>
      <c r="B23" s="5" t="s">
        <v>2072</v>
      </c>
      <c r="C23" s="25">
        <v>45.0</v>
      </c>
      <c r="D23" s="96" t="b">
        <v>1</v>
      </c>
      <c r="E23" s="77">
        <v>1.624112463E9</v>
      </c>
      <c r="F23" s="78">
        <v>44366.59795138889</v>
      </c>
      <c r="G23" s="46" t="s">
        <v>2233</v>
      </c>
      <c r="H23" s="46" t="s">
        <v>2234</v>
      </c>
      <c r="I23" s="46" t="s">
        <v>12</v>
      </c>
    </row>
    <row r="24">
      <c r="A24" s="5" t="s">
        <v>4</v>
      </c>
      <c r="B24" s="5" t="s">
        <v>167</v>
      </c>
      <c r="C24" s="25">
        <v>45.0</v>
      </c>
      <c r="D24" s="96" t="b">
        <v>0</v>
      </c>
      <c r="E24" s="77">
        <v>1.624112594E9</v>
      </c>
      <c r="F24" s="78">
        <v>44366.59946759259</v>
      </c>
      <c r="G24" s="46" t="s">
        <v>2235</v>
      </c>
      <c r="H24" s="46" t="s">
        <v>2236</v>
      </c>
      <c r="I24" s="46" t="s">
        <v>14</v>
      </c>
    </row>
    <row r="25">
      <c r="A25" s="5" t="s">
        <v>4</v>
      </c>
      <c r="B25" s="71" t="s">
        <v>170</v>
      </c>
      <c r="C25" s="25">
        <v>46.0</v>
      </c>
      <c r="D25" s="96" t="b">
        <v>0</v>
      </c>
      <c r="E25" s="77">
        <v>1.624112749E9</v>
      </c>
      <c r="F25" s="78">
        <v>44366.60126157408</v>
      </c>
      <c r="G25" s="46" t="s">
        <v>2237</v>
      </c>
      <c r="H25" s="46" t="s">
        <v>2238</v>
      </c>
      <c r="I25" s="46" t="s">
        <v>13</v>
      </c>
    </row>
    <row r="26">
      <c r="A26" s="5" t="s">
        <v>3</v>
      </c>
      <c r="B26" s="71" t="s">
        <v>2079</v>
      </c>
      <c r="C26" s="25">
        <v>52.0</v>
      </c>
      <c r="D26" s="96" t="b">
        <v>0</v>
      </c>
      <c r="E26" s="77">
        <v>1.624112844E9</v>
      </c>
      <c r="F26" s="78">
        <v>44366.60236111111</v>
      </c>
      <c r="G26" s="46" t="s">
        <v>2239</v>
      </c>
      <c r="H26" s="46" t="s">
        <v>2240</v>
      </c>
      <c r="I26" s="46" t="s">
        <v>14</v>
      </c>
    </row>
    <row r="27">
      <c r="A27" s="5" t="s">
        <v>5</v>
      </c>
      <c r="B27" s="71" t="s">
        <v>2082</v>
      </c>
      <c r="C27" s="25">
        <v>57.0</v>
      </c>
      <c r="D27" s="96" t="b">
        <v>1</v>
      </c>
      <c r="E27" s="77">
        <v>1.624113081E9</v>
      </c>
      <c r="F27" s="78">
        <v>44366.605104166665</v>
      </c>
      <c r="G27" s="46" t="s">
        <v>2241</v>
      </c>
      <c r="H27" s="46" t="s">
        <v>2242</v>
      </c>
      <c r="I27" s="46" t="s">
        <v>12</v>
      </c>
    </row>
    <row r="28">
      <c r="A28" s="5" t="s">
        <v>141</v>
      </c>
      <c r="B28" s="71" t="s">
        <v>2085</v>
      </c>
      <c r="C28" s="25">
        <v>66.0</v>
      </c>
      <c r="D28" s="96" t="b">
        <v>1</v>
      </c>
      <c r="E28" s="77">
        <v>1.624113179E9</v>
      </c>
      <c r="F28" s="78">
        <v>44366.60623842593</v>
      </c>
      <c r="G28" s="46" t="s">
        <v>2243</v>
      </c>
      <c r="H28" s="46" t="s">
        <v>2244</v>
      </c>
      <c r="I28" s="46" t="s">
        <v>14</v>
      </c>
    </row>
    <row r="29">
      <c r="A29" s="5" t="s">
        <v>5</v>
      </c>
      <c r="B29" s="71" t="s">
        <v>2088</v>
      </c>
      <c r="C29" s="25">
        <v>75.0</v>
      </c>
      <c r="D29" s="96" t="b">
        <v>0</v>
      </c>
      <c r="E29" s="77">
        <v>1.624113289E9</v>
      </c>
      <c r="F29" s="78">
        <v>44366.607511574075</v>
      </c>
      <c r="G29" s="46" t="s">
        <v>2245</v>
      </c>
      <c r="H29" s="46" t="s">
        <v>2246</v>
      </c>
      <c r="I29" s="46" t="s">
        <v>13</v>
      </c>
    </row>
    <row r="30">
      <c r="A30" s="5" t="s">
        <v>5</v>
      </c>
      <c r="B30" s="71" t="s">
        <v>2091</v>
      </c>
      <c r="C30" s="25">
        <v>76.0</v>
      </c>
      <c r="D30" s="96" t="b">
        <v>1</v>
      </c>
      <c r="E30" s="77">
        <v>1.624113389E9</v>
      </c>
      <c r="F30" s="78">
        <v>44366.608668981484</v>
      </c>
      <c r="G30" s="46" t="s">
        <v>2247</v>
      </c>
      <c r="H30" s="46" t="s">
        <v>2248</v>
      </c>
      <c r="I30" s="46" t="s">
        <v>13</v>
      </c>
    </row>
    <row r="31">
      <c r="A31" s="5" t="s">
        <v>5</v>
      </c>
      <c r="B31" s="71" t="s">
        <v>2094</v>
      </c>
      <c r="C31" s="25">
        <v>76.0</v>
      </c>
      <c r="D31" s="96" t="b">
        <v>1</v>
      </c>
      <c r="E31" s="77">
        <v>1.624113539E9</v>
      </c>
      <c r="F31" s="78">
        <v>44366.61040509259</v>
      </c>
      <c r="G31" s="46" t="s">
        <v>2249</v>
      </c>
      <c r="H31" s="46" t="s">
        <v>2250</v>
      </c>
      <c r="I31" s="46" t="s">
        <v>12</v>
      </c>
    </row>
    <row r="32">
      <c r="A32" s="5" t="s">
        <v>5</v>
      </c>
      <c r="B32" s="71" t="s">
        <v>2097</v>
      </c>
      <c r="C32" s="25">
        <v>84.0</v>
      </c>
      <c r="D32" s="96" t="b">
        <v>0</v>
      </c>
      <c r="E32" s="77">
        <v>1.624113749E9</v>
      </c>
      <c r="F32" s="78">
        <v>44366.61283564815</v>
      </c>
      <c r="G32" s="46" t="s">
        <v>2251</v>
      </c>
      <c r="H32" s="46" t="s">
        <v>2252</v>
      </c>
      <c r="I32" s="46" t="s">
        <v>14</v>
      </c>
    </row>
    <row r="33">
      <c r="A33" s="5" t="s">
        <v>5</v>
      </c>
      <c r="B33" s="71" t="s">
        <v>2100</v>
      </c>
      <c r="C33" s="25">
        <v>87.0</v>
      </c>
      <c r="D33" s="96" t="b">
        <v>1</v>
      </c>
      <c r="E33" s="77">
        <v>1.624113858E9</v>
      </c>
      <c r="F33" s="78">
        <v>44366.61409722222</v>
      </c>
      <c r="G33" s="46" t="s">
        <v>2253</v>
      </c>
      <c r="H33" s="46" t="s">
        <v>2254</v>
      </c>
      <c r="I33" s="46" t="s">
        <v>12</v>
      </c>
    </row>
    <row r="34">
      <c r="A34" s="5" t="s">
        <v>4</v>
      </c>
      <c r="B34" s="71" t="s">
        <v>195</v>
      </c>
      <c r="C34" s="25">
        <v>90.0</v>
      </c>
      <c r="D34" s="96" t="b">
        <v>1</v>
      </c>
      <c r="E34" s="77">
        <v>1.624114078E9</v>
      </c>
      <c r="F34" s="78">
        <v>44366.616643518515</v>
      </c>
      <c r="G34" s="46" t="s">
        <v>2255</v>
      </c>
      <c r="H34" s="46" t="s">
        <v>2256</v>
      </c>
      <c r="I34" s="46" t="s">
        <v>13</v>
      </c>
    </row>
    <row r="35">
      <c r="A35" s="5"/>
      <c r="B35" s="71"/>
      <c r="C35" s="25"/>
      <c r="D35" s="5"/>
      <c r="E35" s="77">
        <v>1.624114233E9</v>
      </c>
      <c r="F35" s="78">
        <v>44366.6184375</v>
      </c>
      <c r="G35" s="46" t="s">
        <v>2257</v>
      </c>
      <c r="H35" s="46" t="s">
        <v>2258</v>
      </c>
      <c r="I35" s="46" t="s">
        <v>93</v>
      </c>
    </row>
    <row r="36">
      <c r="A36" s="5"/>
      <c r="B36" s="71"/>
      <c r="C36" s="25"/>
      <c r="D36" s="5"/>
      <c r="E36" s="77">
        <v>1.624114457E9</v>
      </c>
      <c r="F36" s="78">
        <v>44366.621030092596</v>
      </c>
      <c r="G36" s="46" t="s">
        <v>2259</v>
      </c>
      <c r="H36" s="46" t="s">
        <v>2260</v>
      </c>
      <c r="I36" s="46" t="s">
        <v>14</v>
      </c>
    </row>
    <row r="37">
      <c r="A37" s="5"/>
      <c r="B37" s="71"/>
      <c r="C37" s="25"/>
      <c r="D37" s="5"/>
      <c r="E37" s="77">
        <v>1.624114556E9</v>
      </c>
      <c r="F37" s="78">
        <v>44366.62217592593</v>
      </c>
      <c r="G37" s="46" t="s">
        <v>2261</v>
      </c>
      <c r="H37" s="46" t="s">
        <v>2262</v>
      </c>
      <c r="I37" s="46" t="s">
        <v>12</v>
      </c>
    </row>
    <row r="38">
      <c r="A38" s="5"/>
      <c r="B38" s="71"/>
      <c r="C38" s="25"/>
      <c r="D38" s="5"/>
      <c r="E38" s="77">
        <v>1.624114678E9</v>
      </c>
      <c r="F38" s="78">
        <v>44366.62358796296</v>
      </c>
      <c r="G38" s="46" t="s">
        <v>2263</v>
      </c>
      <c r="H38" s="46" t="s">
        <v>2264</v>
      </c>
      <c r="I38" s="46" t="s">
        <v>13</v>
      </c>
    </row>
    <row r="39">
      <c r="A39" s="5"/>
      <c r="B39" s="71"/>
      <c r="C39" s="25"/>
      <c r="D39" s="5"/>
      <c r="E39" s="75"/>
      <c r="F39" s="68"/>
      <c r="G39" s="5"/>
      <c r="H39" s="5"/>
      <c r="I39" s="5"/>
    </row>
    <row r="40">
      <c r="B40" s="97"/>
      <c r="E40" s="97"/>
      <c r="F40" s="98"/>
      <c r="I40" s="52"/>
    </row>
    <row r="41">
      <c r="B41" s="97"/>
      <c r="E41" s="97"/>
      <c r="F41" s="98"/>
      <c r="I41" s="52"/>
    </row>
    <row r="42">
      <c r="A42" s="5"/>
      <c r="B42" s="71"/>
      <c r="C42" s="25"/>
      <c r="D42" s="5"/>
      <c r="E42" s="97"/>
      <c r="F42" s="98"/>
      <c r="I42" s="52"/>
    </row>
    <row r="43">
      <c r="A43" s="5"/>
      <c r="B43" s="5"/>
      <c r="C43" s="5"/>
      <c r="D43" s="5"/>
      <c r="F43" s="98"/>
      <c r="I43" s="52"/>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105" t="s">
        <v>100</v>
      </c>
      <c r="C1" s="13" t="s">
        <v>101</v>
      </c>
      <c r="D1" s="13" t="s">
        <v>102</v>
      </c>
      <c r="E1" s="13" t="s">
        <v>103</v>
      </c>
      <c r="F1" s="66" t="s">
        <v>104</v>
      </c>
      <c r="G1" s="13" t="s">
        <v>105</v>
      </c>
      <c r="H1" s="13" t="s">
        <v>106</v>
      </c>
      <c r="I1" s="13" t="s">
        <v>107</v>
      </c>
    </row>
    <row r="2">
      <c r="A2" s="5" t="s">
        <v>93</v>
      </c>
      <c r="B2" s="5" t="s">
        <v>108</v>
      </c>
      <c r="C2" s="25">
        <f t="shared" ref="C2:C6" si="1">COUNTIF(I:I,A2)</f>
        <v>2</v>
      </c>
      <c r="D2" s="17">
        <f t="shared" ref="D2:D6" si="2">C2/COUNTA(I$2:I1000)</f>
        <v>0.05263157895</v>
      </c>
      <c r="E2" s="25">
        <v>1.624107672E9</v>
      </c>
      <c r="F2" s="68">
        <v>44366.542499999996</v>
      </c>
      <c r="G2" s="5" t="s">
        <v>1633</v>
      </c>
      <c r="H2" s="5" t="s">
        <v>2265</v>
      </c>
      <c r="I2" s="7" t="s">
        <v>13</v>
      </c>
    </row>
    <row r="3">
      <c r="A3" s="5" t="s">
        <v>11</v>
      </c>
      <c r="B3" s="5" t="s">
        <v>111</v>
      </c>
      <c r="C3" s="25">
        <f t="shared" si="1"/>
        <v>9</v>
      </c>
      <c r="D3" s="17">
        <f t="shared" si="2"/>
        <v>0.2368421053</v>
      </c>
      <c r="E3" s="25">
        <v>1.624108452E9</v>
      </c>
      <c r="F3" s="68">
        <v>44366.551527777774</v>
      </c>
      <c r="G3" s="5" t="s">
        <v>2266</v>
      </c>
      <c r="H3" s="5" t="s">
        <v>2267</v>
      </c>
      <c r="I3" s="7" t="s">
        <v>14</v>
      </c>
    </row>
    <row r="4">
      <c r="A4" s="5" t="s">
        <v>12</v>
      </c>
      <c r="B4" s="5" t="s">
        <v>114</v>
      </c>
      <c r="C4" s="25">
        <f t="shared" si="1"/>
        <v>9</v>
      </c>
      <c r="D4" s="17">
        <f t="shared" si="2"/>
        <v>0.2368421053</v>
      </c>
      <c r="E4" s="25">
        <v>1.624108567E9</v>
      </c>
      <c r="F4" s="68">
        <v>44366.5528587963</v>
      </c>
      <c r="G4" s="5" t="s">
        <v>2268</v>
      </c>
      <c r="H4" s="5" t="s">
        <v>2269</v>
      </c>
      <c r="I4" s="7" t="s">
        <v>93</v>
      </c>
    </row>
    <row r="5">
      <c r="A5" s="5" t="s">
        <v>13</v>
      </c>
      <c r="B5" s="5" t="s">
        <v>117</v>
      </c>
      <c r="C5" s="25">
        <f t="shared" si="1"/>
        <v>6</v>
      </c>
      <c r="D5" s="17">
        <f t="shared" si="2"/>
        <v>0.1578947368</v>
      </c>
      <c r="E5" s="25">
        <v>1.62410945E9</v>
      </c>
      <c r="F5" s="68">
        <v>44366.56307870371</v>
      </c>
      <c r="G5" s="5" t="s">
        <v>2270</v>
      </c>
      <c r="H5" s="5" t="s">
        <v>2271</v>
      </c>
      <c r="I5" s="46" t="s">
        <v>14</v>
      </c>
    </row>
    <row r="6">
      <c r="A6" s="5" t="s">
        <v>14</v>
      </c>
      <c r="B6" s="5" t="s">
        <v>120</v>
      </c>
      <c r="C6" s="25">
        <f t="shared" si="1"/>
        <v>12</v>
      </c>
      <c r="D6" s="17">
        <f t="shared" si="2"/>
        <v>0.3157894737</v>
      </c>
      <c r="E6" s="25">
        <v>1.624109554E9</v>
      </c>
      <c r="F6" s="68">
        <v>44366.5642824074</v>
      </c>
      <c r="G6" s="5" t="s">
        <v>2272</v>
      </c>
      <c r="H6" s="5" t="s">
        <v>2273</v>
      </c>
      <c r="I6" s="46" t="s">
        <v>11</v>
      </c>
    </row>
    <row r="7">
      <c r="A7" s="5"/>
      <c r="B7" s="5" t="s">
        <v>10</v>
      </c>
      <c r="C7" s="23">
        <f t="shared" ref="C7:D7" si="3">SUM(C2:C6)</f>
        <v>38</v>
      </c>
      <c r="D7" s="70">
        <f t="shared" si="3"/>
        <v>1</v>
      </c>
      <c r="E7" s="25">
        <v>1.624109658E9</v>
      </c>
      <c r="F7" s="68">
        <v>44366.56548611111</v>
      </c>
      <c r="G7" s="5" t="s">
        <v>2274</v>
      </c>
      <c r="H7" s="5" t="s">
        <v>2275</v>
      </c>
      <c r="I7" s="46" t="s">
        <v>11</v>
      </c>
    </row>
    <row r="8">
      <c r="A8" s="71"/>
      <c r="B8" s="5" t="s">
        <v>15</v>
      </c>
      <c r="C8" s="25">
        <f t="shared" ref="C8:D8" si="4">SUM(C5:C6)</f>
        <v>18</v>
      </c>
      <c r="D8" s="17">
        <f t="shared" si="4"/>
        <v>0.4736842105</v>
      </c>
      <c r="E8" s="25">
        <v>1.624109772E9</v>
      </c>
      <c r="F8" s="68">
        <v>44366.56680555556</v>
      </c>
      <c r="G8" s="5" t="s">
        <v>2276</v>
      </c>
      <c r="H8" s="5" t="s">
        <v>2277</v>
      </c>
      <c r="I8" s="46" t="s">
        <v>14</v>
      </c>
    </row>
    <row r="9">
      <c r="A9" s="71"/>
      <c r="B9" s="5" t="s">
        <v>127</v>
      </c>
      <c r="C9" s="25">
        <f>C2+C5+C6</f>
        <v>20</v>
      </c>
      <c r="D9" s="17">
        <f>SUM(D5:D6) + D2</f>
        <v>0.5263157895</v>
      </c>
      <c r="E9" s="25">
        <v>1.624110304E9</v>
      </c>
      <c r="F9" s="68">
        <v>44366.572962962964</v>
      </c>
      <c r="G9" s="5" t="s">
        <v>2278</v>
      </c>
      <c r="H9" s="5" t="s">
        <v>2279</v>
      </c>
      <c r="I9" s="46" t="s">
        <v>11</v>
      </c>
    </row>
    <row r="10">
      <c r="A10" s="71"/>
      <c r="B10" s="71"/>
      <c r="C10" s="71"/>
      <c r="D10" s="71"/>
      <c r="E10" s="25">
        <v>1.624110403E9</v>
      </c>
      <c r="F10" s="68">
        <v>44366.574108796296</v>
      </c>
      <c r="G10" s="5" t="s">
        <v>2280</v>
      </c>
      <c r="H10" s="5" t="s">
        <v>2281</v>
      </c>
      <c r="I10" s="46" t="s">
        <v>13</v>
      </c>
    </row>
    <row r="11">
      <c r="A11" s="71"/>
      <c r="B11" s="71"/>
      <c r="C11" s="71"/>
      <c r="D11" s="71"/>
      <c r="E11" s="25">
        <v>1.624110512E9</v>
      </c>
      <c r="F11" s="68">
        <v>44366.57537037037</v>
      </c>
      <c r="G11" s="5" t="s">
        <v>2282</v>
      </c>
      <c r="H11" s="5" t="s">
        <v>2283</v>
      </c>
      <c r="I11" s="46" t="s">
        <v>93</v>
      </c>
    </row>
    <row r="12">
      <c r="A12" s="13" t="s">
        <v>134</v>
      </c>
      <c r="B12" s="106" t="s">
        <v>662</v>
      </c>
      <c r="C12" s="71"/>
      <c r="D12" s="71"/>
      <c r="E12" s="25">
        <v>1.624110608E9</v>
      </c>
      <c r="F12" s="68">
        <v>44366.57648148148</v>
      </c>
      <c r="G12" s="5" t="s">
        <v>2284</v>
      </c>
      <c r="H12" s="5" t="s">
        <v>2285</v>
      </c>
      <c r="I12" s="46" t="s">
        <v>14</v>
      </c>
    </row>
    <row r="13">
      <c r="A13" s="13" t="s">
        <v>138</v>
      </c>
      <c r="B13" s="71"/>
      <c r="C13" s="13" t="s">
        <v>101</v>
      </c>
      <c r="D13" s="13" t="s">
        <v>102</v>
      </c>
      <c r="E13" s="25">
        <v>1.624110704E9</v>
      </c>
      <c r="F13" s="68">
        <v>44366.57759259259</v>
      </c>
      <c r="G13" s="5" t="s">
        <v>2286</v>
      </c>
      <c r="H13" s="5" t="s">
        <v>2287</v>
      </c>
      <c r="I13" s="46" t="s">
        <v>11</v>
      </c>
    </row>
    <row r="14">
      <c r="A14" s="5" t="s">
        <v>141</v>
      </c>
      <c r="B14" s="5" t="s">
        <v>142</v>
      </c>
      <c r="C14" s="23">
        <v>2.0</v>
      </c>
      <c r="D14" s="17">
        <f>IFERROR(__xludf.DUMMYFUNCTION("IF(C14, COUNTIF(FILTER($D$19:$D1000, $A$19:$A1000=A14), TRUE)/C14, 0)"),1.0)</f>
        <v>1</v>
      </c>
      <c r="E14" s="25">
        <v>1.624110803E9</v>
      </c>
      <c r="F14" s="68">
        <v>44366.57873842593</v>
      </c>
      <c r="G14" s="5" t="s">
        <v>2288</v>
      </c>
      <c r="H14" s="5" t="s">
        <v>2289</v>
      </c>
      <c r="I14" s="46" t="s">
        <v>12</v>
      </c>
    </row>
    <row r="15">
      <c r="A15" s="5" t="s">
        <v>3</v>
      </c>
      <c r="B15" s="5" t="s">
        <v>145</v>
      </c>
      <c r="C15" s="23">
        <v>2.0</v>
      </c>
      <c r="D15" s="17">
        <f>IFERROR(__xludf.DUMMYFUNCTION("IF(C15, COUNTIF(FILTER($D$19:$D1000, $A$19:$A1000=A15), TRUE)/C15, 0)"),0.0)</f>
        <v>0</v>
      </c>
      <c r="E15" s="25">
        <v>1.62411094E9</v>
      </c>
      <c r="F15" s="68">
        <v>44366.58032407408</v>
      </c>
      <c r="G15" s="5" t="s">
        <v>2290</v>
      </c>
      <c r="H15" s="5" t="s">
        <v>2291</v>
      </c>
      <c r="I15" s="46" t="s">
        <v>14</v>
      </c>
    </row>
    <row r="16">
      <c r="A16" s="5" t="s">
        <v>4</v>
      </c>
      <c r="B16" s="5" t="s">
        <v>148</v>
      </c>
      <c r="C16" s="23">
        <v>4.0</v>
      </c>
      <c r="D16" s="17">
        <f>IFERROR(__xludf.DUMMYFUNCTION("IF(C16, COUNTIF(FILTER($D$19:$D1000, $A$19:$A1000=A16), TRUE)/C16, 0)"),0.5)</f>
        <v>0.5</v>
      </c>
      <c r="E16" s="25">
        <v>1.624111062E9</v>
      </c>
      <c r="F16" s="68">
        <v>44366.58173611111</v>
      </c>
      <c r="G16" s="5" t="s">
        <v>2292</v>
      </c>
      <c r="H16" s="5" t="s">
        <v>2293</v>
      </c>
      <c r="I16" s="46" t="s">
        <v>11</v>
      </c>
    </row>
    <row r="17">
      <c r="A17" s="5" t="s">
        <v>5</v>
      </c>
      <c r="B17" s="5" t="s">
        <v>151</v>
      </c>
      <c r="C17" s="23">
        <v>7.0</v>
      </c>
      <c r="D17" s="17">
        <f>IFERROR(__xludf.DUMMYFUNCTION("IF(C17, COUNTIF(FILTER($D$19:$D1000, $A$19:$A1000=A17), TRUE)/C17, 0)"),0.2857142857142857)</f>
        <v>0.2857142857</v>
      </c>
      <c r="E17" s="25">
        <v>1.624111213E9</v>
      </c>
      <c r="F17" s="68">
        <v>44366.5834837963</v>
      </c>
      <c r="G17" s="5" t="s">
        <v>2294</v>
      </c>
      <c r="H17" s="5" t="s">
        <v>2295</v>
      </c>
      <c r="I17" s="46" t="s">
        <v>14</v>
      </c>
    </row>
    <row r="18">
      <c r="A18" s="71"/>
      <c r="B18" s="13" t="s">
        <v>6</v>
      </c>
      <c r="C18" s="23">
        <v>15.0</v>
      </c>
      <c r="D18" s="17">
        <f>COUNTIF($D$19:$D1000, TRUE)/SUM($C$14:$C$17)</f>
        <v>0.4</v>
      </c>
      <c r="E18" s="25">
        <v>1.624111438E9</v>
      </c>
      <c r="F18" s="68">
        <v>44366.58608796296</v>
      </c>
      <c r="G18" s="5" t="s">
        <v>2296</v>
      </c>
      <c r="H18" s="5" t="s">
        <v>2297</v>
      </c>
      <c r="I18" s="46" t="s">
        <v>12</v>
      </c>
    </row>
    <row r="19">
      <c r="A19" s="13" t="s">
        <v>107</v>
      </c>
      <c r="B19" s="13" t="s">
        <v>156</v>
      </c>
      <c r="C19" s="13" t="s">
        <v>157</v>
      </c>
      <c r="D19" s="13" t="s">
        <v>158</v>
      </c>
      <c r="E19" s="25">
        <v>1.624111559E9</v>
      </c>
      <c r="F19" s="68">
        <v>44366.587488425925</v>
      </c>
      <c r="G19" s="5" t="s">
        <v>2298</v>
      </c>
      <c r="H19" s="5" t="s">
        <v>2299</v>
      </c>
      <c r="I19" s="46" t="s">
        <v>11</v>
      </c>
    </row>
    <row r="20">
      <c r="A20" s="5" t="s">
        <v>4</v>
      </c>
      <c r="B20" s="5" t="s">
        <v>161</v>
      </c>
      <c r="C20" s="25">
        <v>1.0</v>
      </c>
      <c r="D20" s="79" t="b">
        <v>1</v>
      </c>
      <c r="E20" s="25">
        <v>1.624111701E9</v>
      </c>
      <c r="F20" s="68">
        <v>44366.58913194445</v>
      </c>
      <c r="G20" s="5" t="s">
        <v>2300</v>
      </c>
      <c r="H20" s="5" t="s">
        <v>2301</v>
      </c>
      <c r="I20" s="46" t="s">
        <v>12</v>
      </c>
    </row>
    <row r="21">
      <c r="A21" s="5" t="s">
        <v>3</v>
      </c>
      <c r="B21" s="5" t="s">
        <v>2066</v>
      </c>
      <c r="C21" s="25">
        <v>10.0</v>
      </c>
      <c r="D21" s="74" t="b">
        <v>0</v>
      </c>
      <c r="E21" s="25">
        <v>1.624111842E9</v>
      </c>
      <c r="F21" s="68">
        <v>44366.59076388889</v>
      </c>
      <c r="G21" s="5" t="s">
        <v>2302</v>
      </c>
      <c r="H21" s="5" t="s">
        <v>2303</v>
      </c>
      <c r="I21" s="46" t="s">
        <v>11</v>
      </c>
    </row>
    <row r="22">
      <c r="A22" s="5" t="s">
        <v>5</v>
      </c>
      <c r="B22" s="5" t="s">
        <v>2069</v>
      </c>
      <c r="C22" s="25">
        <v>26.0</v>
      </c>
      <c r="D22" s="74" t="b">
        <v>0</v>
      </c>
      <c r="E22" s="25">
        <v>1.624111952E9</v>
      </c>
      <c r="F22" s="68">
        <v>44366.59203703704</v>
      </c>
      <c r="G22" s="5" t="s">
        <v>2304</v>
      </c>
      <c r="H22" s="5" t="s">
        <v>2305</v>
      </c>
      <c r="I22" s="46" t="s">
        <v>12</v>
      </c>
    </row>
    <row r="23">
      <c r="A23" s="5" t="s">
        <v>141</v>
      </c>
      <c r="B23" s="5" t="s">
        <v>2072</v>
      </c>
      <c r="C23" s="25">
        <v>45.0</v>
      </c>
      <c r="D23" s="79" t="b">
        <v>1</v>
      </c>
      <c r="E23" s="25">
        <v>1.624112095E9</v>
      </c>
      <c r="F23" s="68">
        <v>44366.59369212963</v>
      </c>
      <c r="G23" s="5" t="s">
        <v>2306</v>
      </c>
      <c r="H23" s="5" t="s">
        <v>2307</v>
      </c>
      <c r="I23" s="46" t="s">
        <v>14</v>
      </c>
    </row>
    <row r="24">
      <c r="A24" s="5" t="s">
        <v>4</v>
      </c>
      <c r="B24" s="5" t="s">
        <v>167</v>
      </c>
      <c r="C24" s="25">
        <v>45.0</v>
      </c>
      <c r="D24" s="74" t="b">
        <v>0</v>
      </c>
      <c r="E24" s="25">
        <v>1.624112207E9</v>
      </c>
      <c r="F24" s="68">
        <v>44366.594988425924</v>
      </c>
      <c r="G24" s="5" t="s">
        <v>2308</v>
      </c>
      <c r="H24" s="5" t="s">
        <v>2309</v>
      </c>
      <c r="I24" s="46" t="s">
        <v>12</v>
      </c>
    </row>
    <row r="25">
      <c r="A25" s="5" t="s">
        <v>4</v>
      </c>
      <c r="B25" s="71" t="s">
        <v>170</v>
      </c>
      <c r="C25" s="25">
        <v>46.0</v>
      </c>
      <c r="D25" s="74" t="b">
        <v>0</v>
      </c>
      <c r="E25" s="25">
        <v>1.624112316E9</v>
      </c>
      <c r="F25" s="68">
        <v>44366.59625</v>
      </c>
      <c r="G25" s="5" t="s">
        <v>738</v>
      </c>
      <c r="H25" s="5" t="s">
        <v>2310</v>
      </c>
      <c r="I25" s="46" t="s">
        <v>12</v>
      </c>
    </row>
    <row r="26">
      <c r="A26" s="5" t="s">
        <v>3</v>
      </c>
      <c r="B26" s="71" t="s">
        <v>2079</v>
      </c>
      <c r="C26" s="25">
        <v>52.0</v>
      </c>
      <c r="D26" s="74" t="b">
        <v>0</v>
      </c>
      <c r="E26" s="25">
        <v>1.624112427E9</v>
      </c>
      <c r="F26" s="68">
        <v>44366.59753472223</v>
      </c>
      <c r="G26" s="5" t="s">
        <v>2311</v>
      </c>
      <c r="H26" s="5" t="s">
        <v>2312</v>
      </c>
      <c r="I26" s="46" t="s">
        <v>11</v>
      </c>
    </row>
    <row r="27">
      <c r="A27" s="5" t="s">
        <v>5</v>
      </c>
      <c r="B27" s="71" t="s">
        <v>2082</v>
      </c>
      <c r="C27" s="25">
        <v>57.0</v>
      </c>
      <c r="D27" s="74" t="b">
        <v>0</v>
      </c>
      <c r="E27" s="25">
        <v>1.624112644E9</v>
      </c>
      <c r="F27" s="68">
        <v>44366.6000462963</v>
      </c>
      <c r="G27" s="5" t="s">
        <v>2313</v>
      </c>
      <c r="H27" s="5" t="s">
        <v>2314</v>
      </c>
      <c r="I27" s="46" t="s">
        <v>12</v>
      </c>
    </row>
    <row r="28">
      <c r="A28" s="5" t="s">
        <v>141</v>
      </c>
      <c r="B28" s="71" t="s">
        <v>2085</v>
      </c>
      <c r="C28" s="25">
        <v>66.0</v>
      </c>
      <c r="D28" s="79" t="b">
        <v>1</v>
      </c>
      <c r="E28" s="25">
        <v>1.624112797E9</v>
      </c>
      <c r="F28" s="68">
        <v>44366.60181712963</v>
      </c>
      <c r="G28" s="5" t="s">
        <v>2315</v>
      </c>
      <c r="H28" s="5" t="s">
        <v>2316</v>
      </c>
      <c r="I28" s="46" t="s">
        <v>13</v>
      </c>
    </row>
    <row r="29">
      <c r="A29" s="5" t="s">
        <v>5</v>
      </c>
      <c r="B29" s="71" t="s">
        <v>2088</v>
      </c>
      <c r="C29" s="25">
        <v>75.0</v>
      </c>
      <c r="D29" s="74" t="b">
        <v>0</v>
      </c>
      <c r="E29" s="75">
        <v>1.62411289E9</v>
      </c>
      <c r="F29" s="68">
        <v>44366.60289351852</v>
      </c>
      <c r="G29" s="5" t="s">
        <v>2317</v>
      </c>
      <c r="H29" s="5" t="s">
        <v>2318</v>
      </c>
      <c r="I29" s="46" t="s">
        <v>14</v>
      </c>
    </row>
    <row r="30">
      <c r="A30" s="5" t="s">
        <v>5</v>
      </c>
      <c r="B30" s="71" t="s">
        <v>2091</v>
      </c>
      <c r="C30" s="25">
        <v>76.0</v>
      </c>
      <c r="D30" s="79" t="b">
        <v>1</v>
      </c>
      <c r="E30" s="68">
        <v>1.624113022E9</v>
      </c>
      <c r="F30" s="68">
        <v>44366.604421296295</v>
      </c>
      <c r="G30" s="5" t="s">
        <v>2319</v>
      </c>
      <c r="H30" s="5" t="s">
        <v>2320</v>
      </c>
      <c r="I30" s="46" t="s">
        <v>14</v>
      </c>
    </row>
    <row r="31">
      <c r="A31" s="5" t="s">
        <v>5</v>
      </c>
      <c r="B31" s="71" t="s">
        <v>2094</v>
      </c>
      <c r="C31" s="25">
        <v>76.0</v>
      </c>
      <c r="D31" s="79" t="b">
        <v>1</v>
      </c>
      <c r="E31" s="75">
        <v>1.624113174E9</v>
      </c>
      <c r="F31" s="68">
        <v>44366.60618055555</v>
      </c>
      <c r="G31" s="5" t="s">
        <v>2321</v>
      </c>
      <c r="H31" s="5" t="s">
        <v>2322</v>
      </c>
      <c r="I31" s="46" t="s">
        <v>14</v>
      </c>
    </row>
    <row r="32">
      <c r="A32" s="5" t="s">
        <v>5</v>
      </c>
      <c r="B32" s="71" t="s">
        <v>2097</v>
      </c>
      <c r="C32" s="25">
        <v>84.0</v>
      </c>
      <c r="D32" s="74" t="b">
        <v>0</v>
      </c>
      <c r="E32" s="75">
        <v>1.624113273E9</v>
      </c>
      <c r="F32" s="68">
        <v>44366.60732638889</v>
      </c>
      <c r="G32" s="5" t="s">
        <v>2323</v>
      </c>
      <c r="H32" s="5" t="s">
        <v>2324</v>
      </c>
      <c r="I32" s="46" t="s">
        <v>14</v>
      </c>
    </row>
    <row r="33">
      <c r="A33" s="5" t="s">
        <v>5</v>
      </c>
      <c r="B33" s="71" t="s">
        <v>2100</v>
      </c>
      <c r="C33" s="25">
        <v>87.0</v>
      </c>
      <c r="D33" s="74" t="b">
        <v>0</v>
      </c>
      <c r="E33" s="75">
        <v>1.624113384E9</v>
      </c>
      <c r="F33" s="68">
        <v>44366.60861111111</v>
      </c>
      <c r="G33" s="5" t="s">
        <v>2325</v>
      </c>
      <c r="H33" s="5" t="s">
        <v>2326</v>
      </c>
      <c r="I33" s="46" t="s">
        <v>13</v>
      </c>
    </row>
    <row r="34">
      <c r="A34" s="5" t="s">
        <v>4</v>
      </c>
      <c r="B34" s="71" t="s">
        <v>195</v>
      </c>
      <c r="C34" s="25">
        <v>90.0</v>
      </c>
      <c r="D34" s="79" t="b">
        <v>1</v>
      </c>
      <c r="E34" s="75">
        <v>1.624113503E9</v>
      </c>
      <c r="F34" s="68">
        <v>44366.60998842593</v>
      </c>
      <c r="G34" s="5" t="s">
        <v>2327</v>
      </c>
      <c r="H34" s="5" t="s">
        <v>2328</v>
      </c>
      <c r="I34" s="46" t="s">
        <v>13</v>
      </c>
    </row>
    <row r="35">
      <c r="A35" s="5"/>
      <c r="B35" s="71"/>
      <c r="C35" s="25"/>
      <c r="D35" s="5"/>
      <c r="E35" s="75">
        <v>1.624113755E9</v>
      </c>
      <c r="F35" s="68">
        <v>44366.612905092596</v>
      </c>
      <c r="G35" s="5" t="s">
        <v>2329</v>
      </c>
      <c r="H35" s="5" t="s">
        <v>2330</v>
      </c>
      <c r="I35" s="46" t="s">
        <v>11</v>
      </c>
    </row>
    <row r="36">
      <c r="A36" s="5"/>
      <c r="B36" s="71"/>
      <c r="C36" s="25"/>
      <c r="D36" s="5"/>
      <c r="E36" s="75">
        <v>1.624113965E9</v>
      </c>
      <c r="F36" s="68">
        <v>44366.61533564815</v>
      </c>
      <c r="G36" s="5" t="s">
        <v>2331</v>
      </c>
      <c r="H36" s="5" t="s">
        <v>2332</v>
      </c>
      <c r="I36" s="46" t="s">
        <v>12</v>
      </c>
    </row>
    <row r="37">
      <c r="A37" s="5"/>
      <c r="B37" s="71"/>
      <c r="C37" s="25"/>
      <c r="D37" s="5"/>
      <c r="E37" s="75">
        <v>1.624114075E9</v>
      </c>
      <c r="F37" s="68">
        <v>44366.61660879629</v>
      </c>
      <c r="G37" s="5" t="s">
        <v>2333</v>
      </c>
      <c r="H37" s="5" t="s">
        <v>2334</v>
      </c>
      <c r="I37" s="46" t="s">
        <v>12</v>
      </c>
    </row>
    <row r="38">
      <c r="A38" s="5"/>
      <c r="B38" s="71"/>
      <c r="C38" s="25"/>
      <c r="D38" s="5"/>
      <c r="E38" s="75">
        <v>1.624114468E9</v>
      </c>
      <c r="F38" s="68">
        <v>44366.62115740741</v>
      </c>
      <c r="G38" s="5" t="s">
        <v>2335</v>
      </c>
      <c r="H38" s="5" t="s">
        <v>2336</v>
      </c>
      <c r="I38" s="46" t="s">
        <v>14</v>
      </c>
    </row>
    <row r="39">
      <c r="E39" s="52">
        <v>1.624114559E9</v>
      </c>
      <c r="F39" s="68">
        <v>44366.622210648144</v>
      </c>
      <c r="G39" s="5" t="s">
        <v>2337</v>
      </c>
      <c r="H39" s="5" t="s">
        <v>2338</v>
      </c>
      <c r="I39" s="46" t="s">
        <v>13</v>
      </c>
    </row>
    <row r="40">
      <c r="F40" s="68"/>
      <c r="I40" s="52"/>
    </row>
    <row r="41">
      <c r="F41" s="68"/>
      <c r="I41" s="52"/>
    </row>
    <row r="42">
      <c r="F42" s="68"/>
      <c r="I42" s="52"/>
    </row>
    <row r="43">
      <c r="F43" s="68"/>
      <c r="I43" s="52"/>
    </row>
    <row r="47">
      <c r="A47" s="46"/>
      <c r="B47" s="46"/>
      <c r="C47" s="77"/>
      <c r="D47" s="46"/>
      <c r="E47" s="77"/>
    </row>
    <row r="50">
      <c r="A50" s="46"/>
      <c r="B50" s="46"/>
      <c r="C50" s="77"/>
      <c r="D50" s="46"/>
    </row>
    <row r="51">
      <c r="A51" s="46"/>
      <c r="B51" s="46"/>
      <c r="C51" s="46"/>
      <c r="D51" s="46"/>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3</v>
      </c>
      <c r="D2" s="17">
        <f t="shared" ref="D2:D6" si="2">C2/COUNTA(I$2:I1000)</f>
        <v>0.12</v>
      </c>
      <c r="E2" s="83">
        <v>1.624107675E9</v>
      </c>
      <c r="F2" s="68">
        <f>IFERROR(__xludf.DUMMYFUNCTION("INDEX(SPLIT(E2, char(10)), 0, 1)/86400+date(1970,1,1)"),44366.54253472222)</f>
        <v>44366.54253</v>
      </c>
      <c r="G2" s="84" t="s">
        <v>1633</v>
      </c>
      <c r="H2" s="84" t="s">
        <v>2339</v>
      </c>
      <c r="I2" s="46" t="s">
        <v>13</v>
      </c>
    </row>
    <row r="3">
      <c r="A3" s="5" t="s">
        <v>11</v>
      </c>
      <c r="B3" s="5" t="s">
        <v>111</v>
      </c>
      <c r="C3" s="25">
        <f t="shared" si="1"/>
        <v>3</v>
      </c>
      <c r="D3" s="17">
        <f t="shared" si="2"/>
        <v>0.12</v>
      </c>
      <c r="E3" s="83">
        <v>1.624108443E9</v>
      </c>
      <c r="F3" s="68">
        <f>IFERROR(__xludf.DUMMYFUNCTION("INDEX(SPLIT(E3, char(10)), 0, 1)/86400+date(1970,1,1)"),44366.55142361111)</f>
        <v>44366.55142</v>
      </c>
      <c r="G3" s="84" t="s">
        <v>2340</v>
      </c>
      <c r="H3" s="84" t="s">
        <v>2341</v>
      </c>
      <c r="I3" s="46" t="s">
        <v>14</v>
      </c>
    </row>
    <row r="4">
      <c r="A4" s="5" t="s">
        <v>12</v>
      </c>
      <c r="B4" s="5" t="s">
        <v>114</v>
      </c>
      <c r="C4" s="25">
        <f t="shared" si="1"/>
        <v>4</v>
      </c>
      <c r="D4" s="17">
        <f t="shared" si="2"/>
        <v>0.16</v>
      </c>
      <c r="E4" s="83">
        <v>1.624108641E9</v>
      </c>
      <c r="F4" s="68">
        <f>IFERROR(__xludf.DUMMYFUNCTION("INDEX(SPLIT(E4, char(10)), 0, 1)/86400+date(1970,1,1)"),44366.553715277776)</f>
        <v>44366.55372</v>
      </c>
      <c r="G4" s="84" t="s">
        <v>2342</v>
      </c>
      <c r="H4" s="84" t="s">
        <v>2343</v>
      </c>
      <c r="I4" s="46" t="s">
        <v>14</v>
      </c>
    </row>
    <row r="5">
      <c r="A5" s="5" t="s">
        <v>13</v>
      </c>
      <c r="B5" s="5" t="s">
        <v>117</v>
      </c>
      <c r="C5" s="25">
        <f t="shared" si="1"/>
        <v>6</v>
      </c>
      <c r="D5" s="17">
        <f t="shared" si="2"/>
        <v>0.24</v>
      </c>
      <c r="E5" s="83">
        <v>1.624109242E9</v>
      </c>
      <c r="F5" s="68">
        <f>IFERROR(__xludf.DUMMYFUNCTION("INDEX(SPLIT(E5, char(10)), 0, 1)/86400+date(1970,1,1)"),44366.5606712963)</f>
        <v>44366.56067</v>
      </c>
      <c r="G5" s="84" t="s">
        <v>2344</v>
      </c>
      <c r="H5" s="84" t="s">
        <v>2345</v>
      </c>
      <c r="I5" s="46" t="s">
        <v>14</v>
      </c>
    </row>
    <row r="6">
      <c r="A6" s="5" t="s">
        <v>14</v>
      </c>
      <c r="B6" s="5" t="s">
        <v>120</v>
      </c>
      <c r="C6" s="25">
        <f t="shared" si="1"/>
        <v>9</v>
      </c>
      <c r="D6" s="17">
        <f t="shared" si="2"/>
        <v>0.36</v>
      </c>
      <c r="E6" s="83">
        <v>1.624109467E9</v>
      </c>
      <c r="F6" s="68">
        <f>IFERROR(__xludf.DUMMYFUNCTION("INDEX(SPLIT(E6, char(10)), 0, 1)/86400+date(1970,1,1)"),44366.56327546296)</f>
        <v>44366.56328</v>
      </c>
      <c r="G6" s="84" t="s">
        <v>2346</v>
      </c>
      <c r="H6" s="84" t="s">
        <v>2347</v>
      </c>
      <c r="I6" s="46" t="s">
        <v>14</v>
      </c>
    </row>
    <row r="7">
      <c r="A7" s="5"/>
      <c r="B7" s="5" t="s">
        <v>10</v>
      </c>
      <c r="C7" s="23">
        <f t="shared" ref="C7:D7" si="3">SUM(C2:C6)</f>
        <v>25</v>
      </c>
      <c r="D7" s="70">
        <f t="shared" si="3"/>
        <v>1</v>
      </c>
      <c r="E7" s="83">
        <v>1.624109605E9</v>
      </c>
      <c r="F7" s="68">
        <f>IFERROR(__xludf.DUMMYFUNCTION("INDEX(SPLIT(E7, char(10)), 0, 1)/86400+date(1970,1,1)"),44366.56487268519)</f>
        <v>44366.56487</v>
      </c>
      <c r="G7" s="84" t="s">
        <v>738</v>
      </c>
      <c r="H7" s="84" t="s">
        <v>2348</v>
      </c>
      <c r="I7" s="46" t="s">
        <v>12</v>
      </c>
    </row>
    <row r="8">
      <c r="A8" s="71"/>
      <c r="B8" s="5" t="s">
        <v>15</v>
      </c>
      <c r="C8" s="25">
        <f t="shared" ref="C8:D8" si="4">SUM(C5:C6)</f>
        <v>15</v>
      </c>
      <c r="D8" s="17">
        <f t="shared" si="4"/>
        <v>0.6</v>
      </c>
      <c r="E8" s="83">
        <v>1.624109792E9</v>
      </c>
      <c r="F8" s="68">
        <f>IFERROR(__xludf.DUMMYFUNCTION("INDEX(SPLIT(E8, char(10)), 0, 1)/86400+date(1970,1,1)"),44366.567037037035)</f>
        <v>44366.56704</v>
      </c>
      <c r="G8" s="84" t="s">
        <v>2349</v>
      </c>
      <c r="H8" s="84" t="s">
        <v>2350</v>
      </c>
      <c r="I8" s="46" t="s">
        <v>14</v>
      </c>
    </row>
    <row r="9">
      <c r="A9" s="71"/>
      <c r="B9" s="5" t="s">
        <v>127</v>
      </c>
      <c r="C9" s="25">
        <f>C2+C5+C6</f>
        <v>18</v>
      </c>
      <c r="D9" s="17">
        <f>SUM(D5:D6) + D2</f>
        <v>0.72</v>
      </c>
      <c r="E9" s="83">
        <v>1.624110412E9</v>
      </c>
      <c r="F9" s="68">
        <f>IFERROR(__xludf.DUMMYFUNCTION("INDEX(SPLIT(E9, char(10)), 0, 1)/86400+date(1970,1,1)"),44366.574212962965)</f>
        <v>44366.57421</v>
      </c>
      <c r="G9" s="84" t="s">
        <v>2351</v>
      </c>
      <c r="H9" s="84" t="s">
        <v>2352</v>
      </c>
      <c r="I9" s="46" t="s">
        <v>13</v>
      </c>
    </row>
    <row r="10">
      <c r="A10" s="71"/>
      <c r="B10" s="71"/>
      <c r="C10" s="71"/>
      <c r="D10" s="71"/>
      <c r="E10" s="83">
        <v>1.624110538E9</v>
      </c>
      <c r="F10" s="68">
        <f>IFERROR(__xludf.DUMMYFUNCTION("INDEX(SPLIT(E10, char(10)), 0, 1)/86400+date(1970,1,1)"),44366.5756712963)</f>
        <v>44366.57567</v>
      </c>
      <c r="G10" s="84" t="s">
        <v>2353</v>
      </c>
      <c r="H10" s="84" t="s">
        <v>2354</v>
      </c>
      <c r="I10" s="46" t="s">
        <v>12</v>
      </c>
    </row>
    <row r="11">
      <c r="A11" s="71"/>
      <c r="B11" s="71"/>
      <c r="C11" s="71"/>
      <c r="D11" s="71"/>
      <c r="E11" s="83">
        <v>1.624110647E9</v>
      </c>
      <c r="F11" s="68">
        <f>IFERROR(__xludf.DUMMYFUNCTION("INDEX(SPLIT(E11, char(10)), 0, 1)/86400+date(1970,1,1)"),44366.576932870375)</f>
        <v>44366.57693</v>
      </c>
      <c r="G11" s="84" t="s">
        <v>2355</v>
      </c>
      <c r="H11" s="84" t="s">
        <v>2356</v>
      </c>
      <c r="I11" s="46" t="s">
        <v>11</v>
      </c>
    </row>
    <row r="12">
      <c r="A12" s="13" t="s">
        <v>134</v>
      </c>
      <c r="B12" s="104" t="s">
        <v>2357</v>
      </c>
      <c r="C12" s="71"/>
      <c r="D12" s="71"/>
      <c r="E12" s="83">
        <v>1.624110843E9</v>
      </c>
      <c r="F12" s="68">
        <f>IFERROR(__xludf.DUMMYFUNCTION("INDEX(SPLIT(E12, char(10)), 0, 1)/86400+date(1970,1,1)"),44366.579201388886)</f>
        <v>44366.5792</v>
      </c>
      <c r="G12" s="84" t="s">
        <v>2358</v>
      </c>
      <c r="H12" s="84" t="s">
        <v>2359</v>
      </c>
      <c r="I12" s="46" t="s">
        <v>93</v>
      </c>
    </row>
    <row r="13">
      <c r="A13" s="13" t="s">
        <v>138</v>
      </c>
      <c r="B13" s="71"/>
      <c r="C13" s="13" t="s">
        <v>101</v>
      </c>
      <c r="D13" s="13" t="s">
        <v>102</v>
      </c>
      <c r="E13" s="83">
        <v>1.62411106E9</v>
      </c>
      <c r="F13" s="68">
        <f>IFERROR(__xludf.DUMMYFUNCTION("INDEX(SPLIT(E13, char(10)), 0, 1)/86400+date(1970,1,1)"),44366.58171296296)</f>
        <v>44366.58171</v>
      </c>
      <c r="G13" s="84" t="s">
        <v>2360</v>
      </c>
      <c r="H13" s="84" t="s">
        <v>2361</v>
      </c>
      <c r="I13" s="46" t="s">
        <v>11</v>
      </c>
    </row>
    <row r="14">
      <c r="A14" s="5" t="s">
        <v>141</v>
      </c>
      <c r="B14" s="5" t="s">
        <v>142</v>
      </c>
      <c r="C14" s="23">
        <f t="shared" ref="C14:C17" si="5">COUNTIF($A$19:$A1000, A14)</f>
        <v>2</v>
      </c>
      <c r="D14" s="17">
        <f>IFERROR(__xludf.DUMMYFUNCTION("IF(C14, COUNTIF(FILTER($D$19:$D1000, $A$19:$A1000=A14), TRUE)/C14, 0)"),1.0)</f>
        <v>1</v>
      </c>
      <c r="E14" s="83">
        <v>1.624111658E9</v>
      </c>
      <c r="F14" s="68">
        <f>IFERROR(__xludf.DUMMYFUNCTION("INDEX(SPLIT(E14, char(10)), 0, 1)/86400+date(1970,1,1)"),44366.58863425926)</f>
        <v>44366.58863</v>
      </c>
      <c r="G14" s="84" t="s">
        <v>2362</v>
      </c>
      <c r="H14" s="84" t="s">
        <v>2363</v>
      </c>
      <c r="I14" s="46" t="s">
        <v>93</v>
      </c>
    </row>
    <row r="15">
      <c r="A15" s="5" t="s">
        <v>3</v>
      </c>
      <c r="B15" s="5" t="s">
        <v>145</v>
      </c>
      <c r="C15" s="23">
        <f t="shared" si="5"/>
        <v>2</v>
      </c>
      <c r="D15" s="17">
        <f>IFERROR(__xludf.DUMMYFUNCTION("IF(C15, COUNTIF(FILTER($D$19:$D1000, $A$19:$A1000=A15), TRUE)/C15, 0)"),0.0)</f>
        <v>0</v>
      </c>
      <c r="E15" s="83">
        <v>1.624112098E9</v>
      </c>
      <c r="F15" s="68">
        <f>IFERROR(__xludf.DUMMYFUNCTION("INDEX(SPLIT(E15, char(10)), 0, 1)/86400+date(1970,1,1)"),44366.59372685185)</f>
        <v>44366.59373</v>
      </c>
      <c r="G15" s="84" t="s">
        <v>2364</v>
      </c>
      <c r="H15" s="84" t="s">
        <v>2365</v>
      </c>
      <c r="I15" s="46" t="s">
        <v>14</v>
      </c>
    </row>
    <row r="16">
      <c r="A16" s="5" t="s">
        <v>4</v>
      </c>
      <c r="B16" s="5" t="s">
        <v>148</v>
      </c>
      <c r="C16" s="23">
        <f t="shared" si="5"/>
        <v>4</v>
      </c>
      <c r="D16" s="17">
        <f>IFERROR(__xludf.DUMMYFUNCTION("IF(C16, COUNTIF(FILTER($D$19:$D1000, $A$19:$A1000=A16), TRUE)/C16, 0)"),0.5)</f>
        <v>0.5</v>
      </c>
      <c r="E16" s="83">
        <v>1.624112272E9</v>
      </c>
      <c r="F16" s="68">
        <f>IFERROR(__xludf.DUMMYFUNCTION("INDEX(SPLIT(E16, char(10)), 0, 1)/86400+date(1970,1,1)"),44366.59574074074)</f>
        <v>44366.59574</v>
      </c>
      <c r="G16" s="84" t="s">
        <v>2366</v>
      </c>
      <c r="H16" s="84" t="s">
        <v>2367</v>
      </c>
      <c r="I16" s="46" t="s">
        <v>12</v>
      </c>
    </row>
    <row r="17">
      <c r="A17" s="5" t="s">
        <v>5</v>
      </c>
      <c r="B17" s="5" t="s">
        <v>151</v>
      </c>
      <c r="C17" s="23">
        <f t="shared" si="5"/>
        <v>7</v>
      </c>
      <c r="D17" s="17">
        <f>IFERROR(__xludf.DUMMYFUNCTION("IF(C17, COUNTIF(FILTER($D$19:$D1000, $A$19:$A1000=A17), TRUE)/C17, 0)"),0.42857142857142855)</f>
        <v>0.4285714286</v>
      </c>
      <c r="E17" s="83">
        <v>1.624112756E9</v>
      </c>
      <c r="F17" s="68">
        <f>IFERROR(__xludf.DUMMYFUNCTION("INDEX(SPLIT(E17, char(10)), 0, 1)/86400+date(1970,1,1)"),44366.60134259259)</f>
        <v>44366.60134</v>
      </c>
      <c r="G17" s="84" t="s">
        <v>2368</v>
      </c>
      <c r="H17" s="84" t="s">
        <v>2369</v>
      </c>
      <c r="I17" s="46" t="s">
        <v>13</v>
      </c>
    </row>
    <row r="18">
      <c r="A18" s="71"/>
      <c r="B18" s="13" t="s">
        <v>6</v>
      </c>
      <c r="C18" s="23">
        <f>SUM(C14:C17)</f>
        <v>15</v>
      </c>
      <c r="D18" s="17">
        <f>COUNTIF($D$19:$D1000, TRUE)/SUM($C$14:$C$17)</f>
        <v>0.4666666667</v>
      </c>
      <c r="E18" s="83">
        <v>1.624112878E9</v>
      </c>
      <c r="F18" s="68">
        <f>IFERROR(__xludf.DUMMYFUNCTION("INDEX(SPLIT(E18, char(10)), 0, 1)/86400+date(1970,1,1)"),44366.602754629625)</f>
        <v>44366.60275</v>
      </c>
      <c r="G18" s="84" t="s">
        <v>2370</v>
      </c>
      <c r="H18" s="84" t="s">
        <v>2371</v>
      </c>
      <c r="I18" s="46" t="s">
        <v>12</v>
      </c>
    </row>
    <row r="19">
      <c r="A19" s="13" t="s">
        <v>107</v>
      </c>
      <c r="B19" s="13" t="s">
        <v>156</v>
      </c>
      <c r="C19" s="13" t="s">
        <v>157</v>
      </c>
      <c r="D19" s="13" t="s">
        <v>158</v>
      </c>
      <c r="E19" s="83">
        <v>1.624113072E9</v>
      </c>
      <c r="F19" s="68">
        <f>IFERROR(__xludf.DUMMYFUNCTION("INDEX(SPLIT(E19, char(10)), 0, 1)/86400+date(1970,1,1)"),44366.604999999996)</f>
        <v>44366.605</v>
      </c>
      <c r="G19" s="84" t="s">
        <v>2372</v>
      </c>
      <c r="H19" s="84" t="s">
        <v>2373</v>
      </c>
      <c r="I19" s="46" t="s">
        <v>93</v>
      </c>
    </row>
    <row r="20">
      <c r="A20" s="5" t="s">
        <v>4</v>
      </c>
      <c r="B20" s="5" t="s">
        <v>161</v>
      </c>
      <c r="C20" s="25">
        <v>1.0</v>
      </c>
      <c r="D20" s="79" t="b">
        <v>1</v>
      </c>
      <c r="E20" s="83">
        <v>1.624113261E9</v>
      </c>
      <c r="F20" s="68">
        <f>IFERROR(__xludf.DUMMYFUNCTION("INDEX(SPLIT(E20, char(10)), 0, 1)/86400+date(1970,1,1)"),44366.607187500005)</f>
        <v>44366.60719</v>
      </c>
      <c r="G20" s="84" t="s">
        <v>2374</v>
      </c>
      <c r="H20" s="84" t="s">
        <v>2375</v>
      </c>
      <c r="I20" s="46" t="s">
        <v>14</v>
      </c>
    </row>
    <row r="21">
      <c r="A21" s="5" t="s">
        <v>3</v>
      </c>
      <c r="B21" s="5" t="s">
        <v>2066</v>
      </c>
      <c r="C21" s="25">
        <v>10.0</v>
      </c>
      <c r="D21" s="79" t="b">
        <v>0</v>
      </c>
      <c r="E21" s="83">
        <v>1.62411339E9</v>
      </c>
      <c r="F21" s="68">
        <f>IFERROR(__xludf.DUMMYFUNCTION("INDEX(SPLIT(E21, char(10)), 0, 1)/86400+date(1970,1,1)"),44366.60868055555)</f>
        <v>44366.60868</v>
      </c>
      <c r="G21" s="84" t="s">
        <v>2376</v>
      </c>
      <c r="H21" s="84" t="s">
        <v>2377</v>
      </c>
      <c r="I21" s="46" t="s">
        <v>13</v>
      </c>
    </row>
    <row r="22">
      <c r="A22" s="5" t="s">
        <v>5</v>
      </c>
      <c r="B22" s="5" t="s">
        <v>2069</v>
      </c>
      <c r="C22" s="25">
        <v>26.0</v>
      </c>
      <c r="D22" s="79" t="b">
        <v>0</v>
      </c>
      <c r="E22" s="83">
        <v>1.624113787E9</v>
      </c>
      <c r="F22" s="68">
        <f>IFERROR(__xludf.DUMMYFUNCTION("INDEX(SPLIT(E22, char(10)), 0, 1)/86400+date(1970,1,1)"),44366.613275462965)</f>
        <v>44366.61328</v>
      </c>
      <c r="G22" s="84" t="s">
        <v>2378</v>
      </c>
      <c r="H22" s="84" t="s">
        <v>2379</v>
      </c>
      <c r="I22" s="46" t="s">
        <v>14</v>
      </c>
    </row>
    <row r="23">
      <c r="A23" s="5" t="s">
        <v>141</v>
      </c>
      <c r="B23" s="5" t="s">
        <v>2072</v>
      </c>
      <c r="C23" s="25">
        <v>45.0</v>
      </c>
      <c r="D23" s="79" t="b">
        <v>1</v>
      </c>
      <c r="E23" s="83">
        <v>1.624114116E9</v>
      </c>
      <c r="F23" s="68">
        <f>IFERROR(__xludf.DUMMYFUNCTION("INDEX(SPLIT(E23, char(10)), 0, 1)/86400+date(1970,1,1)"),44366.61708333333)</f>
        <v>44366.61708</v>
      </c>
      <c r="G23" s="84" t="s">
        <v>2380</v>
      </c>
      <c r="H23" s="84" t="s">
        <v>2381</v>
      </c>
      <c r="I23" s="46" t="s">
        <v>13</v>
      </c>
    </row>
    <row r="24">
      <c r="A24" s="5" t="s">
        <v>4</v>
      </c>
      <c r="B24" s="5" t="s">
        <v>167</v>
      </c>
      <c r="C24" s="25">
        <v>45.0</v>
      </c>
      <c r="D24" s="79" t="b">
        <v>0</v>
      </c>
      <c r="E24" s="83">
        <v>1.624114278E9</v>
      </c>
      <c r="F24" s="68">
        <f>IFERROR(__xludf.DUMMYFUNCTION("INDEX(SPLIT(E24, char(10)), 0, 1)/86400+date(1970,1,1)"),44366.61895833333)</f>
        <v>44366.61896</v>
      </c>
      <c r="G24" s="84" t="s">
        <v>2382</v>
      </c>
      <c r="H24" s="84" t="s">
        <v>2383</v>
      </c>
      <c r="I24" s="46" t="s">
        <v>11</v>
      </c>
    </row>
    <row r="25">
      <c r="A25" s="5" t="s">
        <v>4</v>
      </c>
      <c r="B25" s="71" t="s">
        <v>170</v>
      </c>
      <c r="C25" s="25">
        <v>46.0</v>
      </c>
      <c r="D25" s="79" t="b">
        <v>0</v>
      </c>
      <c r="E25" s="83">
        <v>1.624114516E9</v>
      </c>
      <c r="F25" s="68">
        <f>IFERROR(__xludf.DUMMYFUNCTION("INDEX(SPLIT(E25, char(10)), 0, 1)/86400+date(1970,1,1)"),44366.621712962966)</f>
        <v>44366.62171</v>
      </c>
      <c r="G25" s="84" t="s">
        <v>2384</v>
      </c>
      <c r="H25" s="84" t="s">
        <v>2385</v>
      </c>
      <c r="I25" s="46" t="s">
        <v>14</v>
      </c>
    </row>
    <row r="26">
      <c r="A26" s="5" t="s">
        <v>3</v>
      </c>
      <c r="B26" s="71" t="s">
        <v>2079</v>
      </c>
      <c r="C26" s="25">
        <v>52.0</v>
      </c>
      <c r="D26" s="79" t="b">
        <v>0</v>
      </c>
      <c r="E26" s="83">
        <v>1.624114607E9</v>
      </c>
      <c r="F26" s="68">
        <f>IFERROR(__xludf.DUMMYFUNCTION("INDEX(SPLIT(E26, char(10)), 0, 1)/86400+date(1970,1,1)"),44366.622766203705)</f>
        <v>44366.62277</v>
      </c>
      <c r="G26" s="84" t="s">
        <v>2386</v>
      </c>
      <c r="H26" s="84" t="s">
        <v>2387</v>
      </c>
      <c r="I26" s="46" t="s">
        <v>13</v>
      </c>
    </row>
    <row r="27">
      <c r="A27" s="5" t="s">
        <v>5</v>
      </c>
      <c r="B27" s="71" t="s">
        <v>2082</v>
      </c>
      <c r="C27" s="25">
        <v>57.0</v>
      </c>
      <c r="D27" s="79" t="b">
        <v>0</v>
      </c>
      <c r="E27" s="83"/>
      <c r="F27" s="68"/>
      <c r="G27" s="84"/>
      <c r="H27" s="84"/>
      <c r="I27" s="46"/>
    </row>
    <row r="28">
      <c r="A28" s="5" t="s">
        <v>141</v>
      </c>
      <c r="B28" s="71" t="s">
        <v>2085</v>
      </c>
      <c r="C28" s="25">
        <v>66.0</v>
      </c>
      <c r="D28" s="79" t="b">
        <v>1</v>
      </c>
      <c r="E28" s="83"/>
      <c r="F28" s="68"/>
      <c r="G28" s="84"/>
      <c r="H28" s="84"/>
      <c r="I28" s="46"/>
    </row>
    <row r="29">
      <c r="A29" s="5" t="s">
        <v>5</v>
      </c>
      <c r="B29" s="71" t="s">
        <v>2088</v>
      </c>
      <c r="C29" s="25">
        <v>75.0</v>
      </c>
      <c r="D29" s="79" t="b">
        <v>0</v>
      </c>
      <c r="E29" s="87"/>
      <c r="F29" s="68"/>
      <c r="G29" s="84"/>
      <c r="H29" s="84"/>
      <c r="I29" s="46"/>
    </row>
    <row r="30">
      <c r="A30" s="5" t="s">
        <v>5</v>
      </c>
      <c r="B30" s="71" t="s">
        <v>2091</v>
      </c>
      <c r="C30" s="25">
        <v>76.0</v>
      </c>
      <c r="D30" s="79" t="b">
        <v>1</v>
      </c>
      <c r="E30" s="78"/>
      <c r="F30" s="68"/>
      <c r="G30" s="84"/>
      <c r="H30" s="84"/>
      <c r="I30" s="46"/>
    </row>
    <row r="31">
      <c r="A31" s="5" t="s">
        <v>5</v>
      </c>
      <c r="B31" s="71" t="s">
        <v>2094</v>
      </c>
      <c r="C31" s="25">
        <v>76.0</v>
      </c>
      <c r="D31" s="79" t="b">
        <v>1</v>
      </c>
      <c r="E31" s="87"/>
      <c r="F31" s="68"/>
      <c r="G31" s="84"/>
      <c r="H31" s="84"/>
      <c r="I31" s="46"/>
    </row>
    <row r="32">
      <c r="A32" s="5" t="s">
        <v>5</v>
      </c>
      <c r="B32" s="71" t="s">
        <v>2097</v>
      </c>
      <c r="C32" s="25">
        <v>84.0</v>
      </c>
      <c r="D32" s="79" t="b">
        <v>0</v>
      </c>
      <c r="E32" s="87"/>
      <c r="F32" s="68"/>
      <c r="G32" s="84"/>
      <c r="H32" s="84"/>
      <c r="I32" s="46"/>
    </row>
    <row r="33">
      <c r="A33" s="5" t="s">
        <v>5</v>
      </c>
      <c r="B33" s="71" t="s">
        <v>2100</v>
      </c>
      <c r="C33" s="25">
        <v>87.0</v>
      </c>
      <c r="D33" s="79" t="b">
        <v>1</v>
      </c>
      <c r="E33" s="87"/>
      <c r="F33" s="68"/>
      <c r="G33" s="84"/>
      <c r="H33" s="84"/>
      <c r="I33" s="46"/>
    </row>
    <row r="34">
      <c r="A34" s="5" t="s">
        <v>4</v>
      </c>
      <c r="B34" s="71" t="s">
        <v>195</v>
      </c>
      <c r="C34" s="25">
        <v>90.0</v>
      </c>
      <c r="D34" s="79" t="b">
        <v>1</v>
      </c>
      <c r="E34" s="87"/>
      <c r="F34" s="68"/>
      <c r="G34" s="84"/>
      <c r="H34" s="84"/>
      <c r="I34" s="46"/>
    </row>
    <row r="35">
      <c r="A35" s="5"/>
      <c r="B35" s="71"/>
      <c r="C35" s="25"/>
      <c r="D35" s="5"/>
      <c r="E35" s="87"/>
      <c r="F35" s="68"/>
      <c r="G35" s="84"/>
      <c r="H35" s="84"/>
      <c r="I35" s="46"/>
    </row>
    <row r="36">
      <c r="A36" s="46"/>
      <c r="B36" s="46"/>
      <c r="C36" s="77"/>
      <c r="D36" s="46"/>
      <c r="E36" s="77"/>
      <c r="F36" s="68"/>
      <c r="G36" s="84"/>
      <c r="H36" s="84"/>
      <c r="I36" s="46"/>
    </row>
    <row r="37">
      <c r="A37" s="46"/>
      <c r="B37" s="46"/>
      <c r="C37" s="77"/>
      <c r="D37" s="46"/>
      <c r="E37" s="77"/>
      <c r="F37" s="68"/>
      <c r="G37" s="84"/>
      <c r="H37" s="84"/>
      <c r="I37" s="46"/>
    </row>
    <row r="38">
      <c r="A38" s="46"/>
      <c r="B38" s="46"/>
      <c r="C38" s="77"/>
      <c r="D38" s="46"/>
      <c r="E38" s="77"/>
      <c r="F38" s="68"/>
      <c r="G38" s="84"/>
      <c r="H38" s="84"/>
      <c r="I38" s="46"/>
    </row>
    <row r="39">
      <c r="F39" s="68"/>
      <c r="G39" s="84"/>
      <c r="H39" s="84"/>
      <c r="I39" s="46"/>
    </row>
    <row r="40">
      <c r="F40" s="68"/>
      <c r="I40" s="52"/>
    </row>
    <row r="41">
      <c r="F41" s="68"/>
      <c r="I41" s="52"/>
    </row>
    <row r="42">
      <c r="F42" s="68"/>
      <c r="I42" s="52"/>
    </row>
    <row r="43">
      <c r="F43" s="68"/>
      <c r="I43" s="52"/>
    </row>
    <row r="47">
      <c r="A47" s="46"/>
      <c r="B47" s="46"/>
      <c r="C47" s="77"/>
      <c r="D47" s="46"/>
      <c r="E47" s="77"/>
    </row>
    <row r="50">
      <c r="A50" s="46"/>
      <c r="B50" s="46"/>
      <c r="C50" s="77"/>
      <c r="D50" s="46"/>
    </row>
    <row r="51">
      <c r="A51" s="46"/>
      <c r="B51" s="46"/>
      <c r="C51" s="46"/>
      <c r="D51" s="46"/>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93</v>
      </c>
      <c r="B2" s="5" t="s">
        <v>108</v>
      </c>
      <c r="C2" s="25">
        <f t="shared" ref="C2:C6" si="1">COUNTIF(I:I,A2)</f>
        <v>2</v>
      </c>
      <c r="D2" s="17">
        <f t="shared" ref="D2:D6" si="2">C2/COUNTA(I$2:I1000)</f>
        <v>0.07692307692</v>
      </c>
      <c r="E2" s="83">
        <v>1.624108436E9</v>
      </c>
      <c r="F2" s="68">
        <f>IFERROR(__xludf.DUMMYFUNCTION("INDEX(SPLIT(E2, char(10)), 0, 1)/86400+date(1970,1,1)"),44366.55134259259)</f>
        <v>44366.55134</v>
      </c>
      <c r="G2" s="84" t="s">
        <v>2388</v>
      </c>
      <c r="H2" s="84" t="s">
        <v>2389</v>
      </c>
      <c r="I2" s="46" t="s">
        <v>14</v>
      </c>
    </row>
    <row r="3">
      <c r="A3" s="5" t="s">
        <v>11</v>
      </c>
      <c r="B3" s="5" t="s">
        <v>111</v>
      </c>
      <c r="C3" s="25">
        <f t="shared" si="1"/>
        <v>0</v>
      </c>
      <c r="D3" s="17">
        <f t="shared" si="2"/>
        <v>0</v>
      </c>
      <c r="E3" s="83">
        <v>1.624108635E9</v>
      </c>
      <c r="F3" s="68">
        <f>IFERROR(__xludf.DUMMYFUNCTION("INDEX(SPLIT(E3, char(10)), 0, 1)/86400+date(1970,1,1)"),44366.55364583334)</f>
        <v>44366.55365</v>
      </c>
      <c r="G3" s="84" t="s">
        <v>2390</v>
      </c>
      <c r="H3" s="84" t="s">
        <v>2391</v>
      </c>
      <c r="I3" s="46" t="s">
        <v>14</v>
      </c>
    </row>
    <row r="4">
      <c r="A4" s="5" t="s">
        <v>12</v>
      </c>
      <c r="B4" s="5" t="s">
        <v>114</v>
      </c>
      <c r="C4" s="25">
        <f t="shared" si="1"/>
        <v>7</v>
      </c>
      <c r="D4" s="17">
        <f t="shared" si="2"/>
        <v>0.2692307692</v>
      </c>
      <c r="E4" s="83">
        <v>1.624109444E9</v>
      </c>
      <c r="F4" s="68">
        <f>IFERROR(__xludf.DUMMYFUNCTION("INDEX(SPLIT(E4, char(10)), 0, 1)/86400+date(1970,1,1)"),44366.56300925926)</f>
        <v>44366.56301</v>
      </c>
      <c r="G4" s="84" t="s">
        <v>2392</v>
      </c>
      <c r="H4" s="84" t="s">
        <v>2393</v>
      </c>
      <c r="I4" s="46" t="s">
        <v>12</v>
      </c>
    </row>
    <row r="5">
      <c r="A5" s="5" t="s">
        <v>13</v>
      </c>
      <c r="B5" s="5" t="s">
        <v>117</v>
      </c>
      <c r="C5" s="25">
        <f t="shared" si="1"/>
        <v>5</v>
      </c>
      <c r="D5" s="17">
        <f t="shared" si="2"/>
        <v>0.1923076923</v>
      </c>
      <c r="E5" s="83">
        <v>1.624109579E9</v>
      </c>
      <c r="F5" s="68">
        <f>IFERROR(__xludf.DUMMYFUNCTION("INDEX(SPLIT(E5, char(10)), 0, 1)/86400+date(1970,1,1)"),44366.564571759256)</f>
        <v>44366.56457</v>
      </c>
      <c r="G5" s="84" t="s">
        <v>2394</v>
      </c>
      <c r="H5" s="84" t="s">
        <v>2395</v>
      </c>
      <c r="I5" s="46" t="s">
        <v>14</v>
      </c>
    </row>
    <row r="6">
      <c r="A6" s="5" t="s">
        <v>14</v>
      </c>
      <c r="B6" s="5" t="s">
        <v>120</v>
      </c>
      <c r="C6" s="25">
        <f t="shared" si="1"/>
        <v>12</v>
      </c>
      <c r="D6" s="17">
        <f t="shared" si="2"/>
        <v>0.4615384615</v>
      </c>
      <c r="E6" s="83">
        <v>1.624109767E9</v>
      </c>
      <c r="F6" s="68">
        <f>IFERROR(__xludf.DUMMYFUNCTION("INDEX(SPLIT(E6, char(10)), 0, 1)/86400+date(1970,1,1)"),44366.56674768518)</f>
        <v>44366.56675</v>
      </c>
      <c r="G6" s="84" t="s">
        <v>2396</v>
      </c>
      <c r="H6" s="84" t="s">
        <v>2397</v>
      </c>
      <c r="I6" s="46" t="s">
        <v>14</v>
      </c>
    </row>
    <row r="7">
      <c r="A7" s="5"/>
      <c r="B7" s="5" t="s">
        <v>10</v>
      </c>
      <c r="C7" s="23">
        <f t="shared" ref="C7:D7" si="3">SUM(C2:C6)</f>
        <v>26</v>
      </c>
      <c r="D7" s="70">
        <f t="shared" si="3"/>
        <v>1</v>
      </c>
      <c r="E7" s="83">
        <v>1.624110415E9</v>
      </c>
      <c r="F7" s="68">
        <f>IFERROR(__xludf.DUMMYFUNCTION("INDEX(SPLIT(E7, char(10)), 0, 1)/86400+date(1970,1,1)"),44366.57424768519)</f>
        <v>44366.57425</v>
      </c>
      <c r="G7" s="84" t="s">
        <v>2398</v>
      </c>
      <c r="H7" s="84" t="s">
        <v>2399</v>
      </c>
      <c r="I7" s="46" t="s">
        <v>13</v>
      </c>
    </row>
    <row r="8">
      <c r="A8" s="71"/>
      <c r="B8" s="5" t="s">
        <v>15</v>
      </c>
      <c r="C8" s="25">
        <f t="shared" ref="C8:D8" si="4">SUM(C5:C6)</f>
        <v>17</v>
      </c>
      <c r="D8" s="17">
        <f t="shared" si="4"/>
        <v>0.6538461538</v>
      </c>
      <c r="E8" s="83">
        <v>1.624110545E9</v>
      </c>
      <c r="F8" s="68">
        <f>IFERROR(__xludf.DUMMYFUNCTION("INDEX(SPLIT(E8, char(10)), 0, 1)/86400+date(1970,1,1)"),44366.57575231481)</f>
        <v>44366.57575</v>
      </c>
      <c r="G8" s="84" t="s">
        <v>2400</v>
      </c>
      <c r="H8" s="84" t="s">
        <v>2401</v>
      </c>
      <c r="I8" s="46" t="s">
        <v>12</v>
      </c>
    </row>
    <row r="9">
      <c r="A9" s="71"/>
      <c r="B9" s="5" t="s">
        <v>127</v>
      </c>
      <c r="C9" s="25">
        <f>C2+C5+C6</f>
        <v>19</v>
      </c>
      <c r="D9" s="17">
        <f>SUM(D5:D6) + D2</f>
        <v>0.7307692308</v>
      </c>
      <c r="E9" s="83">
        <v>1.624110659E9</v>
      </c>
      <c r="F9" s="68">
        <f>IFERROR(__xludf.DUMMYFUNCTION("INDEX(SPLIT(E9, char(10)), 0, 1)/86400+date(1970,1,1)"),44366.57707175926)</f>
        <v>44366.57707</v>
      </c>
      <c r="G9" s="84" t="s">
        <v>2402</v>
      </c>
      <c r="H9" s="84" t="s">
        <v>2403</v>
      </c>
      <c r="I9" s="46" t="s">
        <v>12</v>
      </c>
    </row>
    <row r="10">
      <c r="A10" s="71"/>
      <c r="B10" s="71"/>
      <c r="C10" s="71"/>
      <c r="D10" s="71"/>
      <c r="E10" s="83">
        <v>1.624110762E9</v>
      </c>
      <c r="F10" s="68">
        <f>IFERROR(__xludf.DUMMYFUNCTION("INDEX(SPLIT(E10, char(10)), 0, 1)/86400+date(1970,1,1)"),44366.57826388889)</f>
        <v>44366.57826</v>
      </c>
      <c r="G10" s="84" t="s">
        <v>2404</v>
      </c>
      <c r="H10" s="84" t="s">
        <v>2405</v>
      </c>
      <c r="I10" s="46" t="s">
        <v>12</v>
      </c>
    </row>
    <row r="11">
      <c r="A11" s="71"/>
      <c r="B11" s="71"/>
      <c r="C11" s="71"/>
      <c r="D11" s="71"/>
      <c r="E11" s="83">
        <v>1.624110881E9</v>
      </c>
      <c r="F11" s="68">
        <f>IFERROR(__xludf.DUMMYFUNCTION("INDEX(SPLIT(E11, char(10)), 0, 1)/86400+date(1970,1,1)"),44366.5796412037)</f>
        <v>44366.57964</v>
      </c>
      <c r="G11" s="84" t="s">
        <v>2406</v>
      </c>
      <c r="H11" s="84" t="s">
        <v>2407</v>
      </c>
      <c r="I11" s="46" t="s">
        <v>93</v>
      </c>
    </row>
    <row r="12">
      <c r="A12" s="13" t="s">
        <v>134</v>
      </c>
      <c r="B12" s="104" t="s">
        <v>2408</v>
      </c>
      <c r="C12" s="71"/>
      <c r="D12" s="71"/>
      <c r="E12" s="83">
        <v>1.624111047E9</v>
      </c>
      <c r="F12" s="68">
        <f>IFERROR(__xludf.DUMMYFUNCTION("INDEX(SPLIT(E12, char(10)), 0, 1)/86400+date(1970,1,1)"),44366.581562499996)</f>
        <v>44366.58156</v>
      </c>
      <c r="G12" s="84" t="s">
        <v>2409</v>
      </c>
      <c r="H12" s="84" t="s">
        <v>2410</v>
      </c>
      <c r="I12" s="46" t="s">
        <v>12</v>
      </c>
    </row>
    <row r="13">
      <c r="A13" s="13" t="s">
        <v>138</v>
      </c>
      <c r="B13" s="71"/>
      <c r="C13" s="13" t="s">
        <v>101</v>
      </c>
      <c r="D13" s="13" t="s">
        <v>102</v>
      </c>
      <c r="E13" s="83">
        <v>1.624111229E9</v>
      </c>
      <c r="F13" s="68">
        <f>IFERROR(__xludf.DUMMYFUNCTION("INDEX(SPLIT(E13, char(10)), 0, 1)/86400+date(1970,1,1)"),44366.58366898148)</f>
        <v>44366.58367</v>
      </c>
      <c r="G13" s="84" t="s">
        <v>2411</v>
      </c>
      <c r="H13" s="84" t="s">
        <v>2412</v>
      </c>
      <c r="I13" s="46" t="s">
        <v>12</v>
      </c>
    </row>
    <row r="14">
      <c r="A14" s="5" t="s">
        <v>141</v>
      </c>
      <c r="B14" s="5" t="s">
        <v>142</v>
      </c>
      <c r="C14" s="23">
        <f t="shared" ref="C14:C17" si="5">COUNTIF($A$19:$A1000, A14)</f>
        <v>2</v>
      </c>
      <c r="D14" s="17">
        <f>IFERROR(__xludf.DUMMYFUNCTION("IF(C14, COUNTIF(FILTER($D$19:$D1000, $A$19:$A1000=A14), TRUE)/C14, 0)"),1.0)</f>
        <v>1</v>
      </c>
      <c r="E14" s="83">
        <v>1.624111647E9</v>
      </c>
      <c r="F14" s="68">
        <f>IFERROR(__xludf.DUMMYFUNCTION("INDEX(SPLIT(E14, char(10)), 0, 1)/86400+date(1970,1,1)"),44366.58850694445)</f>
        <v>44366.58851</v>
      </c>
      <c r="G14" s="84" t="s">
        <v>2413</v>
      </c>
      <c r="H14" s="84" t="s">
        <v>2414</v>
      </c>
      <c r="I14" s="46" t="s">
        <v>93</v>
      </c>
    </row>
    <row r="15">
      <c r="A15" s="5" t="s">
        <v>3</v>
      </c>
      <c r="B15" s="5" t="s">
        <v>145</v>
      </c>
      <c r="C15" s="23">
        <f t="shared" si="5"/>
        <v>2</v>
      </c>
      <c r="D15" s="17">
        <f>IFERROR(__xludf.DUMMYFUNCTION("IF(C15, COUNTIF(FILTER($D$19:$D1000, $A$19:$A1000=A15), TRUE)/C15, 0)"),0.0)</f>
        <v>0</v>
      </c>
      <c r="E15" s="83">
        <v>1.624112072E9</v>
      </c>
      <c r="F15" s="68">
        <f>IFERROR(__xludf.DUMMYFUNCTION("INDEX(SPLIT(E15, char(10)), 0, 1)/86400+date(1970,1,1)"),44366.59342592592)</f>
        <v>44366.59343</v>
      </c>
      <c r="G15" s="84" t="s">
        <v>2415</v>
      </c>
      <c r="H15" s="84" t="s">
        <v>2416</v>
      </c>
      <c r="I15" s="46" t="s">
        <v>14</v>
      </c>
    </row>
    <row r="16">
      <c r="A16" s="5" t="s">
        <v>4</v>
      </c>
      <c r="B16" s="5" t="s">
        <v>148</v>
      </c>
      <c r="C16" s="23">
        <f t="shared" si="5"/>
        <v>4</v>
      </c>
      <c r="D16" s="17">
        <f>IFERROR(__xludf.DUMMYFUNCTION("IF(C16, COUNTIF(FILTER($D$19:$D1000, $A$19:$A1000=A16), TRUE)/C16, 0)"),0.25)</f>
        <v>0.25</v>
      </c>
      <c r="E16" s="83">
        <v>1.624112688E9</v>
      </c>
      <c r="F16" s="68">
        <f>IFERROR(__xludf.DUMMYFUNCTION("INDEX(SPLIT(E16, char(10)), 0, 1)/86400+date(1970,1,1)"),44366.60055555556)</f>
        <v>44366.60056</v>
      </c>
      <c r="G16" s="84" t="s">
        <v>2417</v>
      </c>
      <c r="H16" s="84" t="s">
        <v>2418</v>
      </c>
      <c r="I16" s="46" t="s">
        <v>12</v>
      </c>
    </row>
    <row r="17">
      <c r="A17" s="5" t="s">
        <v>5</v>
      </c>
      <c r="B17" s="5" t="s">
        <v>151</v>
      </c>
      <c r="C17" s="23">
        <f t="shared" si="5"/>
        <v>7</v>
      </c>
      <c r="D17" s="17">
        <f>IFERROR(__xludf.DUMMYFUNCTION("IF(C17, COUNTIF(FILTER($D$19:$D1000, $A$19:$A1000=A17), TRUE)/C17, 0)"),0.42857142857142855)</f>
        <v>0.4285714286</v>
      </c>
      <c r="E17" s="83">
        <v>1.624112784E9</v>
      </c>
      <c r="F17" s="68">
        <f>IFERROR(__xludf.DUMMYFUNCTION("INDEX(SPLIT(E17, char(10)), 0, 1)/86400+date(1970,1,1)"),44366.60166666667)</f>
        <v>44366.60167</v>
      </c>
      <c r="G17" s="84" t="s">
        <v>2419</v>
      </c>
      <c r="H17" s="84" t="s">
        <v>2420</v>
      </c>
      <c r="I17" s="46" t="s">
        <v>14</v>
      </c>
    </row>
    <row r="18">
      <c r="A18" s="71"/>
      <c r="B18" s="13" t="s">
        <v>6</v>
      </c>
      <c r="C18" s="23">
        <f>SUM(C14:C17)</f>
        <v>15</v>
      </c>
      <c r="D18" s="17">
        <f>COUNTIF($D$19:$D1000, TRUE)/SUM($C$14:$C$17)</f>
        <v>0.4</v>
      </c>
      <c r="E18" s="83">
        <v>1.62411293E9</v>
      </c>
      <c r="F18" s="68">
        <f>IFERROR(__xludf.DUMMYFUNCTION("INDEX(SPLIT(E18, char(10)), 0, 1)/86400+date(1970,1,1)"),44366.603356481486)</f>
        <v>44366.60336</v>
      </c>
      <c r="G18" s="84" t="s">
        <v>2421</v>
      </c>
      <c r="H18" s="84" t="s">
        <v>2422</v>
      </c>
      <c r="I18" s="46" t="s">
        <v>13</v>
      </c>
    </row>
    <row r="19">
      <c r="A19" s="13" t="s">
        <v>107</v>
      </c>
      <c r="B19" s="13" t="s">
        <v>156</v>
      </c>
      <c r="C19" s="13" t="s">
        <v>157</v>
      </c>
      <c r="D19" s="13" t="s">
        <v>158</v>
      </c>
      <c r="E19" s="83">
        <v>1.624113069E9</v>
      </c>
      <c r="F19" s="68">
        <f>IFERROR(__xludf.DUMMYFUNCTION("INDEX(SPLIT(E19, char(10)), 0, 1)/86400+date(1970,1,1)"),44366.60496527777)</f>
        <v>44366.60497</v>
      </c>
      <c r="G19" s="84" t="s">
        <v>2423</v>
      </c>
      <c r="H19" s="84" t="s">
        <v>2424</v>
      </c>
      <c r="I19" s="46" t="s">
        <v>14</v>
      </c>
    </row>
    <row r="20">
      <c r="A20" s="5" t="s">
        <v>4</v>
      </c>
      <c r="B20" s="5" t="s">
        <v>161</v>
      </c>
      <c r="C20" s="25">
        <v>1.0</v>
      </c>
      <c r="D20" s="79" t="b">
        <v>0</v>
      </c>
      <c r="E20" s="83">
        <v>1.624113203E9</v>
      </c>
      <c r="F20" s="68">
        <f>IFERROR(__xludf.DUMMYFUNCTION("INDEX(SPLIT(E20, char(10)), 0, 1)/86400+date(1970,1,1)"),44366.606516203705)</f>
        <v>44366.60652</v>
      </c>
      <c r="G20" s="84" t="s">
        <v>2425</v>
      </c>
      <c r="H20" s="84" t="s">
        <v>2426</v>
      </c>
      <c r="I20" s="46" t="s">
        <v>14</v>
      </c>
    </row>
    <row r="21">
      <c r="A21" s="5" t="s">
        <v>3</v>
      </c>
      <c r="B21" s="5" t="s">
        <v>2066</v>
      </c>
      <c r="C21" s="25">
        <v>10.0</v>
      </c>
      <c r="D21" s="79" t="b">
        <v>0</v>
      </c>
      <c r="E21" s="83">
        <v>1.624113385E9</v>
      </c>
      <c r="F21" s="68">
        <f>IFERROR(__xludf.DUMMYFUNCTION("INDEX(SPLIT(E21, char(10)), 0, 1)/86400+date(1970,1,1)"),44366.608622685184)</f>
        <v>44366.60862</v>
      </c>
      <c r="G21" s="84" t="s">
        <v>2427</v>
      </c>
      <c r="H21" s="84" t="s">
        <v>2428</v>
      </c>
      <c r="I21" s="46" t="s">
        <v>13</v>
      </c>
    </row>
    <row r="22">
      <c r="A22" s="5" t="s">
        <v>5</v>
      </c>
      <c r="B22" s="5" t="s">
        <v>2069</v>
      </c>
      <c r="C22" s="25">
        <v>26.0</v>
      </c>
      <c r="D22" s="79" t="b">
        <v>0</v>
      </c>
      <c r="E22" s="83">
        <v>1.624113624E9</v>
      </c>
      <c r="F22" s="68">
        <f>IFERROR(__xludf.DUMMYFUNCTION("INDEX(SPLIT(E22, char(10)), 0, 1)/86400+date(1970,1,1)"),44366.611388888894)</f>
        <v>44366.61139</v>
      </c>
      <c r="G22" s="84" t="s">
        <v>2429</v>
      </c>
      <c r="H22" s="84" t="s">
        <v>2430</v>
      </c>
      <c r="I22" s="46" t="s">
        <v>14</v>
      </c>
    </row>
    <row r="23">
      <c r="A23" s="5" t="s">
        <v>141</v>
      </c>
      <c r="B23" s="5" t="s">
        <v>2072</v>
      </c>
      <c r="C23" s="25">
        <v>45.0</v>
      </c>
      <c r="D23" s="79" t="b">
        <v>1</v>
      </c>
      <c r="E23" s="83">
        <v>1.624113747E9</v>
      </c>
      <c r="F23" s="68">
        <f>IFERROR(__xludf.DUMMYFUNCTION("INDEX(SPLIT(E23, char(10)), 0, 1)/86400+date(1970,1,1)"),44366.612812499996)</f>
        <v>44366.61281</v>
      </c>
      <c r="G23" s="84" t="s">
        <v>2431</v>
      </c>
      <c r="H23" s="84" t="s">
        <v>2432</v>
      </c>
      <c r="I23" s="46" t="s">
        <v>14</v>
      </c>
    </row>
    <row r="24">
      <c r="A24" s="5" t="s">
        <v>4</v>
      </c>
      <c r="B24" s="5" t="s">
        <v>167</v>
      </c>
      <c r="C24" s="25">
        <v>45.0</v>
      </c>
      <c r="D24" s="79" t="b">
        <v>0</v>
      </c>
      <c r="E24" s="83">
        <v>1.624114104E9</v>
      </c>
      <c r="F24" s="68">
        <f>IFERROR(__xludf.DUMMYFUNCTION("INDEX(SPLIT(E24, char(10)), 0, 1)/86400+date(1970,1,1)"),44366.616944444446)</f>
        <v>44366.61694</v>
      </c>
      <c r="G24" s="84" t="s">
        <v>2433</v>
      </c>
      <c r="H24" s="84" t="s">
        <v>2434</v>
      </c>
      <c r="I24" s="46" t="s">
        <v>13</v>
      </c>
    </row>
    <row r="25">
      <c r="A25" s="5" t="s">
        <v>4</v>
      </c>
      <c r="B25" s="71" t="s">
        <v>170</v>
      </c>
      <c r="C25" s="25">
        <v>46.0</v>
      </c>
      <c r="D25" s="79" t="b">
        <v>0</v>
      </c>
      <c r="E25" s="83">
        <v>1.624114511E9</v>
      </c>
      <c r="F25" s="68">
        <f>IFERROR(__xludf.DUMMYFUNCTION("INDEX(SPLIT(E25, char(10)), 0, 1)/86400+date(1970,1,1)"),44366.62165509259)</f>
        <v>44366.62166</v>
      </c>
      <c r="G25" s="84" t="s">
        <v>2435</v>
      </c>
      <c r="H25" s="84" t="s">
        <v>2436</v>
      </c>
      <c r="I25" s="46" t="s">
        <v>14</v>
      </c>
    </row>
    <row r="26">
      <c r="A26" s="5" t="s">
        <v>3</v>
      </c>
      <c r="B26" s="71" t="s">
        <v>2079</v>
      </c>
      <c r="C26" s="25">
        <v>52.0</v>
      </c>
      <c r="D26" s="79" t="b">
        <v>0</v>
      </c>
      <c r="E26" s="83">
        <v>1.624114605E9</v>
      </c>
      <c r="F26" s="68">
        <f>IFERROR(__xludf.DUMMYFUNCTION("INDEX(SPLIT(E26, char(10)), 0, 1)/86400+date(1970,1,1)"),44366.62274305556)</f>
        <v>44366.62274</v>
      </c>
      <c r="G26" s="84" t="s">
        <v>2437</v>
      </c>
      <c r="H26" s="84" t="s">
        <v>2438</v>
      </c>
      <c r="I26" s="46" t="s">
        <v>14</v>
      </c>
    </row>
    <row r="27">
      <c r="A27" s="5" t="s">
        <v>5</v>
      </c>
      <c r="B27" s="71" t="s">
        <v>2082</v>
      </c>
      <c r="C27" s="25">
        <v>57.0</v>
      </c>
      <c r="D27" s="79" t="b">
        <v>0</v>
      </c>
      <c r="E27" s="83">
        <v>1.624114701E9</v>
      </c>
      <c r="F27" s="68">
        <f>IFERROR(__xludf.DUMMYFUNCTION("INDEX(SPLIT(E27, char(10)), 0, 1)/86400+date(1970,1,1)"),44366.62385416667)</f>
        <v>44366.62385</v>
      </c>
      <c r="G27" s="84" t="s">
        <v>2439</v>
      </c>
      <c r="H27" s="84" t="s">
        <v>2440</v>
      </c>
      <c r="I27" s="46" t="s">
        <v>13</v>
      </c>
    </row>
    <row r="28">
      <c r="A28" s="5" t="s">
        <v>141</v>
      </c>
      <c r="B28" s="71" t="s">
        <v>2085</v>
      </c>
      <c r="C28" s="25">
        <v>66.0</v>
      </c>
      <c r="D28" s="79" t="b">
        <v>1</v>
      </c>
      <c r="E28" s="83"/>
      <c r="F28" s="68"/>
      <c r="G28" s="84"/>
      <c r="H28" s="84"/>
      <c r="I28" s="46"/>
    </row>
    <row r="29">
      <c r="A29" s="5" t="s">
        <v>5</v>
      </c>
      <c r="B29" s="71" t="s">
        <v>2088</v>
      </c>
      <c r="C29" s="25">
        <v>75.0</v>
      </c>
      <c r="D29" s="79" t="b">
        <v>0</v>
      </c>
      <c r="E29" s="87"/>
      <c r="F29" s="68"/>
      <c r="G29" s="84"/>
      <c r="H29" s="84"/>
      <c r="I29" s="46"/>
    </row>
    <row r="30">
      <c r="A30" s="5" t="s">
        <v>5</v>
      </c>
      <c r="B30" s="71" t="s">
        <v>2091</v>
      </c>
      <c r="C30" s="25">
        <v>76.0</v>
      </c>
      <c r="D30" s="79" t="b">
        <v>1</v>
      </c>
      <c r="E30" s="78"/>
      <c r="F30" s="68"/>
      <c r="G30" s="84"/>
      <c r="H30" s="84"/>
      <c r="I30" s="46"/>
    </row>
    <row r="31">
      <c r="A31" s="5" t="s">
        <v>5</v>
      </c>
      <c r="B31" s="71" t="s">
        <v>2094</v>
      </c>
      <c r="C31" s="25">
        <v>76.0</v>
      </c>
      <c r="D31" s="79" t="b">
        <v>1</v>
      </c>
      <c r="E31" s="87"/>
      <c r="F31" s="68"/>
      <c r="G31" s="84"/>
      <c r="H31" s="84"/>
      <c r="I31" s="46"/>
    </row>
    <row r="32">
      <c r="A32" s="5" t="s">
        <v>5</v>
      </c>
      <c r="B32" s="71" t="s">
        <v>2097</v>
      </c>
      <c r="C32" s="25">
        <v>84.0</v>
      </c>
      <c r="D32" s="79" t="b">
        <v>0</v>
      </c>
      <c r="E32" s="87"/>
      <c r="F32" s="68"/>
      <c r="G32" s="84"/>
      <c r="H32" s="84"/>
      <c r="I32" s="46"/>
    </row>
    <row r="33">
      <c r="A33" s="5" t="s">
        <v>5</v>
      </c>
      <c r="B33" s="71" t="s">
        <v>2100</v>
      </c>
      <c r="C33" s="25">
        <v>87.0</v>
      </c>
      <c r="D33" s="79" t="b">
        <v>1</v>
      </c>
      <c r="E33" s="87"/>
      <c r="F33" s="68"/>
      <c r="G33" s="84"/>
      <c r="H33" s="84"/>
      <c r="I33" s="46"/>
    </row>
    <row r="34">
      <c r="A34" s="5" t="s">
        <v>4</v>
      </c>
      <c r="B34" s="71" t="s">
        <v>195</v>
      </c>
      <c r="C34" s="25">
        <v>90.0</v>
      </c>
      <c r="D34" s="79" t="b">
        <v>1</v>
      </c>
      <c r="E34" s="87"/>
      <c r="F34" s="68"/>
      <c r="G34" s="84"/>
      <c r="H34" s="84"/>
      <c r="I34" s="46"/>
    </row>
    <row r="35">
      <c r="A35" s="5"/>
      <c r="B35" s="71"/>
      <c r="C35" s="25"/>
      <c r="D35" s="5"/>
      <c r="E35" s="87"/>
      <c r="F35" s="68"/>
      <c r="G35" s="84"/>
      <c r="H35" s="84"/>
      <c r="I35" s="46"/>
    </row>
    <row r="36">
      <c r="A36" s="46"/>
      <c r="B36" s="46"/>
      <c r="C36" s="77"/>
      <c r="D36" s="46"/>
      <c r="E36" s="77"/>
      <c r="F36" s="68"/>
      <c r="G36" s="84"/>
      <c r="H36" s="84"/>
      <c r="I36" s="46"/>
    </row>
    <row r="37">
      <c r="A37" s="46"/>
      <c r="B37" s="46"/>
      <c r="C37" s="77"/>
      <c r="D37" s="46"/>
      <c r="E37" s="77"/>
      <c r="F37" s="68"/>
      <c r="G37" s="84"/>
      <c r="H37" s="84"/>
      <c r="I37" s="46"/>
    </row>
    <row r="38">
      <c r="A38" s="46"/>
      <c r="B38" s="46"/>
      <c r="C38" s="77"/>
      <c r="D38" s="46"/>
      <c r="E38" s="77"/>
      <c r="F38" s="68"/>
      <c r="G38" s="84"/>
      <c r="H38" s="84"/>
      <c r="I38" s="46"/>
    </row>
    <row r="39">
      <c r="F39" s="68"/>
      <c r="G39" s="84"/>
      <c r="H39" s="84"/>
      <c r="I39" s="46"/>
    </row>
    <row r="40">
      <c r="F40" s="68"/>
      <c r="I40" s="52"/>
    </row>
    <row r="41">
      <c r="F41" s="68"/>
      <c r="I41" s="52"/>
    </row>
    <row r="42">
      <c r="F42" s="68"/>
      <c r="I42" s="52"/>
    </row>
    <row r="43">
      <c r="F43" s="68"/>
      <c r="I43" s="52"/>
    </row>
    <row r="47">
      <c r="A47" s="46"/>
      <c r="B47" s="46"/>
      <c r="C47" s="77"/>
      <c r="D47" s="46"/>
      <c r="E47" s="77"/>
    </row>
    <row r="50">
      <c r="A50" s="46"/>
      <c r="B50" s="46"/>
      <c r="C50" s="77"/>
      <c r="D50" s="46"/>
    </row>
    <row r="51">
      <c r="A51" s="46"/>
      <c r="B51" s="46"/>
      <c r="C51" s="46"/>
      <c r="D51" s="46"/>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