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emplate" sheetId="2" r:id="rId5"/>
    <sheet state="visible" name="#WALSUI-volume-10-burst-0.7-gro" sheetId="3" r:id="rId6"/>
    <sheet state="visible" name="Sheet8" sheetId="4" r:id="rId7"/>
    <sheet state="visible" name="#TURITA-volume-15-burst-0.6-gro" sheetId="5" r:id="rId8"/>
    <sheet state="visible" name="Sheet9" sheetId="6" r:id="rId9"/>
    <sheet state="visible" name="#SOUARS-volume-15-burst-0.7-gro" sheetId="7" r:id="rId10"/>
    <sheet state="visible" name="Sheet10" sheetId="8" r:id="rId11"/>
    <sheet state="visible" name="#LEIMUN-volume-30-burst-0.6-gro" sheetId="9" r:id="rId12"/>
    <sheet state="visible" name="Sheet11" sheetId="10" r:id="rId13"/>
    <sheet state="visible" name="#SCOCZE-volume-15-burst-0.7-gro" sheetId="11" r:id="rId14"/>
    <sheet state="visible" name="Sheet12" sheetId="12" r:id="rId15"/>
    <sheet state="visible" name="#HUNFRA-volume-15-burst-0.7-gro" sheetId="13" r:id="rId16"/>
    <sheet state="visible" name="Sheet13"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J9">
      <text>
        <t xml:space="preserve">The general streams tend to have a lower precision than even the noisy and spam stream.</t>
      </text>
    </comment>
    <comment authorId="0" ref="J12">
      <text>
        <t xml:space="preserve">How much noise in this stream is due to the word 'need', which can express an opinion?
</t>
      </text>
    </comment>
    <comment authorId="0" ref="J16">
      <text>
        <t xml:space="preserve">Not even the noisy stream is excessively noisy.</t>
      </text>
    </comment>
    <comment authorId="0" ref="I55">
      <text>
        <t xml:space="preserve">There is almost no correlation between the number of precise topics and precision. In other words, if a stream has many precise topics, it does not mean it is precise.</t>
      </text>
    </comment>
  </commentList>
</comments>
</file>

<file path=xl/sharedStrings.xml><?xml version="1.0" encoding="utf-8"?>
<sst xmlns="http://schemas.openxmlformats.org/spreadsheetml/2006/main" count="4750" uniqueCount="1148">
  <si>
    <t>Configurations</t>
  </si>
  <si>
    <t>#WALSUI</t>
  </si>
  <si>
    <t>#TURITA</t>
  </si>
  <si>
    <t>#SOUARS</t>
  </si>
  <si>
    <t>#LEIMUN</t>
  </si>
  <si>
    <t>#SCOCZE</t>
  </si>
  <si>
    <t>#HUNFRA</t>
  </si>
  <si>
    <t>#WALSUI-volume-10-burst-0.7-grouped-processed</t>
  </si>
  <si>
    <t>#TURITA-volume-15-burst-0.6-grouped-processed</t>
  </si>
  <si>
    <t>#SOUARS-volume-15-burst-0.7-grouped-processed</t>
  </si>
  <si>
    <t>#LEIMUN-volume-30-burst-0.6-grouped-processed</t>
  </si>
  <si>
    <t>#SCOCZE-volume-15-burst-0.7-grouped-processed</t>
  </si>
  <si>
    <t>#HUNFRA-volume-15-burst-0.7-grouped-processed</t>
  </si>
  <si>
    <t>Precision</t>
  </si>
  <si>
    <t>Redundant</t>
  </si>
  <si>
    <t>Noise</t>
  </si>
  <si>
    <t>Opinion</t>
  </si>
  <si>
    <t>Topic</t>
  </si>
  <si>
    <t>Valid</t>
  </si>
  <si>
    <t>Stream</t>
  </si>
  <si>
    <t>Macro-average</t>
  </si>
  <si>
    <t>Micro-average</t>
  </si>
  <si>
    <t>NOTE</t>
  </si>
  <si>
    <t># Topics</t>
  </si>
  <si>
    <t>Micro-average summary</t>
  </si>
  <si>
    <t>Macro-average summary</t>
  </si>
  <si>
    <t>Sum</t>
  </si>
  <si>
    <t>Precise (Topic + Valid)</t>
  </si>
  <si>
    <t>Correlation</t>
  </si>
  <si>
    <t># Precise</t>
  </si>
  <si>
    <t>Splits</t>
  </si>
  <si>
    <t>File</t>
  </si>
  <si>
    <t>Fill in with file name</t>
  </si>
  <si>
    <t>Legend</t>
  </si>
  <si>
    <t>Count</t>
  </si>
  <si>
    <t>%</t>
  </si>
  <si>
    <t>Already reported, no new information</t>
  </si>
  <si>
    <t>Unrelated to the event or illegible</t>
  </si>
  <si>
    <t>Subjective content</t>
  </si>
  <si>
    <t>Key or non-key topic (enumerable)</t>
  </si>
  <si>
    <t>Newsworthy (non-enumerable)</t>
  </si>
  <si>
    <t>Total</t>
  </si>
  <si>
    <t>Macro-average precision</t>
  </si>
  <si>
    <t>Micro-average precision</t>
  </si>
  <si>
    <t>Gold</t>
  </si>
  <si>
    <t>Ground truth source</t>
  </si>
  <si>
    <t>Topic type</t>
  </si>
  <si>
    <t>Goal</t>
  </si>
  <si>
    <t>Goal, own-goal, cancelled goal</t>
  </si>
  <si>
    <t>Discipline</t>
  </si>
  <si>
    <t>Yellow or red card</t>
  </si>
  <si>
    <t>Half</t>
  </si>
  <si>
    <t>The start and end of each half</t>
  </si>
  <si>
    <t>Substitution</t>
  </si>
  <si>
    <t>Substitutions</t>
  </si>
  <si>
    <t>Recall</t>
  </si>
  <si>
    <t>Type</t>
  </si>
  <si>
    <t>Detail</t>
  </si>
  <si>
    <t>Time</t>
  </si>
  <si>
    <t>Recalled</t>
  </si>
  <si>
    <t>Game start</t>
  </si>
  <si>
    <t>Pavard</t>
  </si>
  <si>
    <t>Nikolic for Szalai</t>
  </si>
  <si>
    <t>Fiola</t>
  </si>
  <si>
    <t>Half-time</t>
  </si>
  <si>
    <t>Second half</t>
  </si>
  <si>
    <t>Botka</t>
  </si>
  <si>
    <t>Dembélé for Rabiot</t>
  </si>
  <si>
    <t>Griezmann</t>
  </si>
  <si>
    <t>Cseri for Schafer</t>
  </si>
  <si>
    <t>Tolisso for Pogba</t>
  </si>
  <si>
    <t>Giroud for Benzema</t>
  </si>
  <si>
    <t>Lovrencsics for Kleinheisler</t>
  </si>
  <si>
    <t>Lemar for Dembélé</t>
  </si>
  <si>
    <t>Full-time</t>
  </si>
  <si>
    <t>node</t>
  </si>
  <si>
    <t>timestamp</t>
  </si>
  <si>
    <t>date</t>
  </si>
  <si>
    <t>split</t>
  </si>
  <si>
    <t>query</t>
  </si>
  <si>
    <t>summary</t>
  </si>
  <si>
    <t>['champion', 'final', 'leagu', 'footbal', 'win']</t>
  </si>
  <si>
    <t>[["win", 1.0]]</t>
  </si>
  <si>
    <t>Italy was very good in yesterday’s game, I think that they will win the euros… EURO 2020. 28 matches unbeaten. Eased to a 3-0 win on the opening day of EURO 2020. #ITA are all business.. Wales to win 2-1 Bale to score. Game 2 of the EURO 2020 I’m hoping for a Wales win #WALSUI.</t>
  </si>
  <si>
    <t>[["saturday", 0.5982183508484745], ["ridicul", 0.5210988179459565], ["guarante", 0.4313576662546015], ["bother", 0.4295595306902669]]</t>
  </si>
  <si>
    <t>Saturday with football!!!🤩🤩. EURO 2020. Not too bother who wins this. Just want Dan James to have a good game #WALSUI. Guaranteed win for switzerland if they play mbabu at CB. Gareth Bale - ridiculously good footballer, just ridiculous hair.</t>
  </si>
  <si>
    <t>[["final", 0.7383441211210121], ["easternmost", 0.4315625428989911], ["xhaka", 0.4166568052431703], ["semi", 0.3082188135353704]]</t>
  </si>
  <si>
    <t>Is this the easternmost European Championships finals fixture that's ever been played? #WALSUI. If they don't meet in the quarters and semis, I predict France v Italy in the EURO 2020 finals. This will be a 2-1 Switzerland win with Dan James, Shaqiri and Xhaka scoring.</t>
  </si>
  <si>
    <t>[["prepar", 0.8098947844032224], ["ahead", 0.5865751769351121]]</t>
  </si>
  <si>
    <t>Final preparations ahead of #WALSUI ✅ EURO 2020.</t>
  </si>
  <si>
    <t>['take', 'knee', 'player']</t>
  </si>
  <si>
    <t>[["anthem", 0.9129033001608763], ["player", 0.29947574990662273], ["sing", 0.27734786780007337]]</t>
  </si>
  <si>
    <t>The Rugby players do that anthem a lot more justice.. #Wal. #WALSUI 🏴󠁧󠁢󠁷󠁬󠁳󠁿. The #Wales anthem would sound a million times better if the players didn't sing it! Please make the players stand in order of height for the anthems EURO 2020.</t>
  </si>
  <si>
    <t>['goal', 'score', 'conced', 'equalis', 'offsid', 'assist']</t>
  </si>
  <si>
    <t>[["brace", 1.0]]</t>
  </si>
  <si>
    <t>Dan James to score a brace EURO 2020. Bale to score a brace today.</t>
  </si>
  <si>
    <t>['need', 'half', 'sub', 'second', 'lead', '2nd']</t>
  </si>
  <si>
    <t>[["2nd", 1.0]]</t>
  </si>
  <si>
    <t>Time for the 2nd game of EURO 2020.</t>
  </si>
  <si>
    <t>[["matchday", 0.8110386331651441], ["win", 0.5849925944092066]]</t>
  </si>
  <si>
    <t>EURO 2020 what do you think who will win? 28 matches unbeaten. Eased to a 3-0 win on the opening day of EURO 2020. #ITA are all business.. ⚽️ Here we go! ℹ️ Group A, matchday. 🏴󠁧󠁢󠁷󠁬󠁳󠁿🆚🇨🇭 Who's winning this? EURO 2020. Wales winning this 2-1. Bale scores 2 🤝.</t>
  </si>
  <si>
    <t>[["save", 0.4401134373906674], ["oof", 0.4401134373906674], ["yann", 0.4401134373906674], ["sommer", 0.3785363628115721], ["moor", 0.3714304969229226], ["inch", 0.37101225676450345]]</t>
  </si>
  <si>
    <t>Yann Sommer showing his class there. Saved a definite goal. Oof. What a save from Yann Sommer. Inches away from a first Wales goal. Moore should've scored for #WAL. Loving the set piece header attempts/goal saves.. Chiellini almost had one yesterday, now Moore.. EURO 2020.</t>
  </si>
  <si>
    <t>['touch', 'cross', 'ball', 'pass']</t>
  </si>
  <si>
    <t>[["cross", 1.0]]</t>
  </si>
  <si>
    <t>Great cross from Dan James! EURO 2020. What a cross from James and what a save from Sommer. #WALSUI. Fantastic cross from daniel james. Daniel James bro 😭😭😭😭👶🏽💪🏾 the run, the cross. That was a peach of a cross from Dan James btw. Doesn’t do that often enough for United. 🤔 #WAL.</t>
  </si>
  <si>
    <t>[["great", 0.7126606309708028], ["tournament", 0.7015089629251342]]</t>
  </si>
  <si>
    <t>Great save by Chris Coleman in the Swiss goal EURO 2020 Wales Switzerland. Lovely flick by Schar…almost a great goal. EURO 2020. Schar nearly scored a great goal there EURO 2020 #NUFC. That would of been the goal of the tournament on Day 2 of Euros #SUI.</t>
  </si>
  <si>
    <t>[["puma", 1.0]]</t>
  </si>
  <si>
    <t>It begins PUMA Football euro 2020 🐈‍⬛ 🏴󠁧󠁢󠁥󠁮󠁧󠁿.</t>
  </si>
  <si>
    <t>[["touch", 0.7781484722973091], ["ben", 0.5711545914458188], ["davi", 0.26128028576937035]]</t>
  </si>
  <si>
    <t>Does anyone else’s house have someone reacting every time Mbabu touches the ball, with “Ovavu”? Ben Davies giving the ball away....🙄 #wal. Has Bale had a touch? Our midfield looks fast asleep. They’re giving the ball away every time they touch the ball. We need to wake up!! #WAL.</t>
  </si>
  <si>
    <t>[["take", 1.0]]</t>
  </si>
  <si>
    <t>Yannick makes his EURO 2020 debut today as Belgium take on Russia!. Ben Davies having a nightmare so far, nice to see him taking his Tottenham form into the euros. Switzerland and Wales both take the knee.. EURO 2020.</t>
  </si>
  <si>
    <t>[["xhaka", 1.0]]</t>
  </si>
  <si>
    <t>Xhaka score that. Xhaka gonna score a golazo in this game. Granit Xhaka is always shooting without scoring. Fraud. Xhaka is scoring a screamer today i can feel it. Xhaka’s going to score a banger at some point #SUI. Granit Xhaka is in mood for a long range goal. EURO 2020.</t>
  </si>
  <si>
    <t>[["take", 0.7412114812294371], ["pitch", 0.6712715844527191]]</t>
  </si>
  <si>
    <t>Joe Rodon the best player on the pitch so far. If you would take the traits of Tito, Hitler, Mussolini Biden, you’d end up with Vladimir Petkovic. Aaron Ramsey's workrate is outstanding. Any chance to sign him, we should take it. Go 5 back and take Morrell of for Cabango.</t>
  </si>
  <si>
    <t>[["bore", 0.6786684126025512], ["gonna", 0.558991674363789], ["get", 0.47637956896523276]]</t>
  </si>
  <si>
    <t>Seferovic will score if Wales don't get serious. Danny Ward, in goal for Wales, has played a total of 18 times since getting promoted with Huddersfield Town in 2017. ARE WE GONNA GET GOALS. THIS IS BORING #WALSUI.</t>
  </si>
  <si>
    <t>[["xhaka", 0.7402351576675699], ["pass", 0.6723480581907469]]</t>
  </si>
  <si>
    <t>The state of Shaqiri just make the pass mf. Xhaka is balling rn. When Xhaka passes to Shaquiri. Xhaka is balling. 5 years ago on a day like this I was eagerly watching every pass made by Granit Xhaka, our new midfield metronome. Xhaka balling. Xhaka long pass is so valuable man.</t>
  </si>
  <si>
    <t>[["jame", 0.7143182545248844], ["daniel", 0.6998209994366578]]</t>
  </si>
  <si>
    <t>Daniel James is the best player on the pitch. says a lot about this game😭😭. Daniel James for Wales is not the player for united he's so much better. Daniel james on the left is a different player. Daniel James is a superb wee player.</t>
  </si>
  <si>
    <t>['foul', 'refere', 'book', 'decis', 'var', 'given', 'pen', 'dive', 'ref', 'penalti']</t>
  </si>
  <si>
    <t>[["foul", 1.0]]</t>
  </si>
  <si>
    <t>Foul! #WALSUI EURO 2020. What a prick, what a run from James, that foul was so harsh #WALSWI #WAL. That was an appalling foul by #Schär. Professional. EURO 2020. Cynical foul that 😬 #WALSUI. The cynicism from Schar for his foul on Dan James is just glorious 🤣 EURO 2020.</t>
  </si>
  <si>
    <t>Who will win EURO 2020. Switzerland win 1-0, Embolo scores the winner. Not winning the ball in midfield. #wal. Great run from Daniel James there, gives his defenders a rest and wins a free kick in a great position for Wales.</t>
  </si>
  <si>
    <t>['tackl', 'dribbl', 'yellow', 'red', 'card']</t>
  </si>
  <si>
    <t>[["card", 0.8669441511308741], ["yellow", 0.49840529573828596]]</t>
  </si>
  <si>
    <t>Clear red card foul on Dan James there, ref gives a yellow. #WAL EURO 2020. He just took out our man 🤬🏴󠁧󠁢󠁷󠁬󠁳󠁿 #WAL yellow card surely Euro 2021. Red card for me day #WALSUI. That's a professional foul. Yellow card well deserved. #WALSUI.</t>
  </si>
  <si>
    <t>['gol', 'stream', 'onlin', 'free', 'reddit', 'link', 'EXCLUDED-manchest', 'ff', 'live']</t>
  </si>
  <si>
    <t>[["free", 0.760104576076702], ["kick", 0.6498007644095667]]</t>
  </si>
  <si>
    <t>Daniel James is free from our shackles he’s cooking. Bit of a weird tactical foul in Bale free kick range tbh. Free kick from Bale now 😍. Great run from Daniel James there, gives his defenders a rest and wins a free kick in a great position for Wales.</t>
  </si>
  <si>
    <t>[["bale", 1.0]]</t>
  </si>
  <si>
    <t>BALE SCORE THIS PLEASE. Bale scoring this. Beg bale doesn’t score i switched him with insigne i hope that was a w. Bale to score?. Can bale pls score pls pls pls pls pls. A goal is coming from this setpiece and bale is scoring it. Bale surely isn’t thinking going for goal.</t>
  </si>
  <si>
    <t>['deflect', 'kick', 'corner', 'shot', 'net']</t>
  </si>
  <si>
    <t>[["free", 1.0]]</t>
  </si>
  <si>
    <t>Bit of a weird tactical foul in Bale free kick range tbh. Free kick from Bale now 😍. Great run from Daniel James there, gives his defenders a rest and wins a free kick in a great position for Wales. Why is Bale taking this free kick from Dan stop it.</t>
  </si>
  <si>
    <t>[["cross", 0.9132527399418165], ["bale", 0.4073934621330647]]</t>
  </si>
  <si>
    <t>No players trying to attack that cross from Bale? DCL would’ve been all over that cross by Bale. Mepham has to get a head on that Bale cross #WALSUI. Bale crosses the ball sooo deliciously 🤤. They just watch that Bale nice cross like it was a shooting star.</t>
  </si>
  <si>
    <t>[["seferov", 0.6391068458873372], ["entertain", 0.4447141959493902], ["decent", 0.2719154048127781], ["never", 0.2719154048127781], ["aw", 0.2719154048127781], ["halftim", 0.26859708925246234], ["hari", 0.2416500610350735], ["walsui", 0.20351563326778058]]</t>
  </si>
  <si>
    <t>Final preparations ahead of #WALSUI ✅ EURO 2020. If Wales want to win this they should bring Bale on at halftime 😉. Switzerland have never been involved in an entertaining football match. EURO 2020 #WALSUI. Xhaka is a decent footballer you know. Seferovic is a g league player.</t>
  </si>
  <si>
    <t>[["second", 0.9016072220824606], ["atleast", 0.43255568091142765]]</t>
  </si>
  <si>
    <t>#SUI should be leading atleast by a goal already. 42 minutes, 7 corners already? Ah! Please reserve some for Second half #WALSUI EURO 2020. ⏱️Turkey vs Italy in 60 Seconds⏱️. Euro 2020.</t>
  </si>
  <si>
    <t>[["second", 0.7093734092249017], ["turkey", 0.7048328640781729]]</t>
  </si>
  <si>
    <t>⏱️Turkey vs Italy in 60 Seconds⏱️. Euro 2020.</t>
  </si>
  <si>
    <t>[["seferov", 1.0]]</t>
  </si>
  <si>
    <t>Seferovic mach mal das Tor! #WALSUI. WTF, make this goal! #SUI. Seferovic has been so poor in front of goal. Fantastic hold-up play by Embolo. How has Seferovic not scored. Pretty sure he’s hit every shot over the bar. Ffss seferovic mf score. Seferovic should have scored.</t>
  </si>
  <si>
    <t>[["penalti", 0.9260745794344016], ["embolo", 0.37734052701160525]]</t>
  </si>
  <si>
    <t>That has to be a penalty, just because he didn’t go down it’s not given #WALSUI. How is that not a Switzerland penalty? Clear foul on Embolo. If he had gone down it could have been clear penalty.. EURO 2020. No idea how that isn't a penalty on Embolo there.</t>
  </si>
  <si>
    <t>['world', 'class', 'striker']</t>
  </si>
  <si>
    <t>[["seferov", 0.7965778304705312], ["worst", 0.6045359873513417]]</t>
  </si>
  <si>
    <t>Seferovic is the worst striker of all time. Seferovic is having an absolute shocker. Terrible striker 😂😬. Seferovic ain't a serious striker man. The year is 2048 and Switzerland are still playing Seferovic up front because they STILL haven't got a good striker. #WALSUI EURO 2020.</t>
  </si>
  <si>
    <t>[["pass", 0.868716842550097], ["embolo", 0.49530904238645823]]</t>
  </si>
  <si>
    <t>Pass to bale and inshallah FC. Embolo could’ve easily taken some pace off that ball. Embolo shouldve tried to shoot there, no clue why he looked for the pass. That was an atrocious pass from embolo. The passing from midfield to attack hasn’t been good enough #WAL. Xhaka's passing.</t>
  </si>
  <si>
    <t>[["embolo", 0.5898243323046037], ["penalti", 0.5799667180181128], ["pen", 0.5152021317869508], ["seferov", 0.22430476235449975]]</t>
  </si>
  <si>
    <t>Embolo looks like a whole different player since I watched him last seferovic stinks. So where was VAR there. Shows players have to go down to get a penalty. EURO 2020 #walesvsswitzerland. Respect to Embolo for not going down for a pen, most players would.</t>
  </si>
  <si>
    <t>[["walsui", 0.44874159479712694], ["half", 0.30351264814409873], ["dull", 0.30114010992212403], ["far", 0.295975386980251], ["anoth", 0.28407577005247725], ["goat", 0.25322114589408434], ["varieti", 0.2469816773211604], ["time", 0.2382642948854913], ["ifyama", 0.23394038933522543], ["noti", 0.23394038933522543], ["halv", 0.23107432091477292], ["por", 0.2299317099519375], ["touch", 0.22341508107716235]]</t>
  </si>
  <si>
    <t>What time does the football start? #WALSUI. I just need either team to win noti ifyama draw. EURO 2020. Once again another dull game of football so far EURO 2020 Euros 2021. As halves of football go, that was of the less interesting variety EURO 2020.</t>
  </si>
  <si>
    <t>[["half", 1.0]]</t>
  </si>
  <si>
    <t>First half #WALSUI. I hope to see goal in 2nd half! Wales lucky to escape that half without conceding a penalty, that shirt pull 😳 #WAL #SUI. Switzerland on top, but Wales have come closest to scoring. Looking forward to the second half! EUROS 2020 #WALSUI.</t>
  </si>
  <si>
    <t>[["touch", 1.0]]</t>
  </si>
  <si>
    <t>Mepham a wee touch lucky there with the tugging in the box. Oh that final touch..🙀. EURO 2020. #WALSUI. 46.' 0-0. Has Bale touched the ball ? Gareth Bale and Dan James combined for 25 touches during the first half. #WAL EURO 2020.</t>
  </si>
  <si>
    <t>[["badli", 0.7177159799535505], ["pass", 0.696335962104008]]</t>
  </si>
  <si>
    <t>Wales badly outplayed there, lucky to be level and still in it. Surely too hot there to spend another half chasing the ball. #WALSUI. Fabian didn't believe in that last pass.#WALSUI. Need to get foothold in this game and Ramsey and Bale on the ball. Or it will end badly 🏴󠁧󠁢󠁷󠁬󠁳󠁿.</t>
  </si>
  <si>
    <t>[["need", 1.0]]</t>
  </si>
  <si>
    <t>Zuber and Gavranovic needed for Switzerland. Seferovic needs to decide if he wants to score or not. EURO 2020. Ramsey missing... needs to dye his hair blonde again. Not good enough.. need to get Ramsey on the ball. Come on Wales 🏴󠁧󠁢󠁷󠁬󠁳󠁿 we need a BIG second half 🙏🏼 #WAL.</t>
  </si>
  <si>
    <t>[["goe", 1.0]]</t>
  </si>
  <si>
    <t>If Embolo goes down there, that's a clear pen #WALSUI EURO 2020. If embolo goes down thats a penalty. If Embolo goes down at the end there that’s a pen , and that’s why players always go down. Fair play to Embolo. He goes down there and it’s a stone cold penalty. #Sui #Wal.</t>
  </si>
  <si>
    <t>[["yellow", 1.0]]</t>
  </si>
  <si>
    <t>You giving a yellow for Kieffer Moore? Thats not a yellow card for Moore 🤣😭. Moore goes up with Schär and the ex-Wiganer rightly gets a yellow card. 0-0 (48) How is that a yellow for Kieffer?! #WAL EURO 2020. Yellow card for that? Game has gone #WALSUI.</t>
  </si>
  <si>
    <t>[["yellow", 0.8344350233133611], ["ref", 0.43588217590452943], ["moor", 0.33723125685019706]]</t>
  </si>
  <si>
    <t>Moore booked for jumping. Kieffer Moore booked for being tall. So Moore's was a yellow by going in high on James wasn't? Good one ref. Never a yellow card there for Moore. Refs having a laugh #WALSUI EURO 2020. That's barely even a foul, let alone a yellow. #WALSUI EURO 2020.</t>
  </si>
  <si>
    <t>['keeper', 'best', 'goalkeep', 'defend', 'EXCLUDED-kepa', 'save']</t>
  </si>
  <si>
    <t>[["save", 1.0]]</t>
  </si>
  <si>
    <t>What a save embolo is causing problems. What a turn from embolo and save from ward. It’s a good save but Embolo has shot straight at him. I'm not being funny, but so far at EURO 2020 the saves are better than the goals. Danny Ward.. what a save that was for #wal.</t>
  </si>
  <si>
    <t>[["ff", 0.8736291116300287], ["embolo", 0.48659241189369856]]</t>
  </si>
  <si>
    <t>That embolo looks lively. EMBOLO IS A R9 REGEN FFS. Score this thing FFS, Embolo😪. That was so easy ffs #WALSUI. Shaqiri is a really good buy ffs i wish i chose him. Embolo is a beast ffs. Ffs. Roberts letting Embolo bully him. Ffs I knew I shoulda added embolo in my team.</t>
  </si>
  <si>
    <t>[["goal", 0.8370335318724348], ["embolo", 0.5471515937298892]]</t>
  </si>
  <si>
    <t>Fabulous turn from Embolo, now a goal for Embolo! That goal was coming. You can’t play that defensively and not go forward. #WALSUI. At last a goal EURO 2020 There goes my prediction. Deserved that. Especially after that turn and shot on goal! EURO 2020.</t>
  </si>
  <si>
    <t>[["embolo", 0.7195383181927493], ["class", 0.6944527404023617]]</t>
  </si>
  <si>
    <t>What a shot embolo, he love class. Embolo is class. Jesus Christ Embolo is class. Embolo been absolutely class. Goal now to top it off. Embolo 1-0! Class in the build up to the corner too, holding two off to get a shot away. EMBOLO WHAT A STRIKERRRR. Embolo is pure class.</t>
  </si>
  <si>
    <t>[["lead", 0.7137788506276882], ["embolo", 0.7003711533155947]]</t>
  </si>
  <si>
    <t>Embolo destroyed the defence to win the corner. Embolo scores the corner to give Switzerland the lead! #SUI. Switzerland lead against Wales! Embolo could’ve had a few, he gets their first! #SUI take the lead! Embolo header. It's been coming, 1-0 up on #WAL.</t>
  </si>
  <si>
    <t>[["embolo", 1.0]]</t>
  </si>
  <si>
    <t>I’d take embolo at Liverpool. Always loved Breel Embolo he'll definitely be a great player real soon if not at this tournament. Hope spurs scout him tho. #Sui. Embolo what a player. Embolo has been the best player in this game, deserves that goal. Wonder what the Wales Plan B is?</t>
  </si>
  <si>
    <t>[["final", 0.8565671750595365], ["embolo", 0.516035536189636]]</t>
  </si>
  <si>
    <t>Embolo finally doing his FIFA 16 career mode hype justice. Embolo might finally get his breakthrough. Embolo get in. Finally a goal. Finally!!!. EURO 2020. Embolo unstoppable!!! 1-0 finally. Embolo what a fucking footballer. Embolo! #SUI finally break through! EURO 2020.</t>
  </si>
  <si>
    <t>[["embolo", 0.7071067811865475], ["corner", 0.7071067811865475]]</t>
  </si>
  <si>
    <t>Deserved goal. Great work from Embolo to get the corner in the first place. 1-0 Embolo. Been coming all day long from a corner. Embolo destroyed the defence to win the corner. Embolo scores the corner to give Switzerland the lead! #SUI.</t>
  </si>
  <si>
    <t>[["embolo", 0.7154522922134259], ["defend", 0.6986615901611843]]</t>
  </si>
  <si>
    <t>48’ #Sui 1-0 #Wal. Embolo heads a corner home, very questionable defending. Awful defending from Roberts more focused on wrestling Embolo than doing his job and Embolo just doesn’t miss from there. Embolo has been bullying the welsh defenders all game and deserves that goal.</t>
  </si>
  <si>
    <t>Unreal touch and turn Embolo. And then the goal. Great stuff. Wales have been so poor , brilliant touch ,turn of pace and strike from embolo. Embolo been balling out. Breel Emboloooooo !! My Boy.... so strong with the ball EURO 2020. Embolo be strong pass Thanos.👿.</t>
  </si>
  <si>
    <t>[["gol", 1.0]]</t>
  </si>
  <si>
    <t>GOOOOOOOOOOOOOOLLLLL DE #SUI. GGGOOOOOOLLLLLLL/BBBBUUUUUTTTTTTTT/TORRRRRRRRRRRRRRRRRRR. #SUI EURO 2020. Al fin gol de #Sui !!</t>
  </si>
  <si>
    <t>[["shot", 1.0]]</t>
  </si>
  <si>
    <t>Embolo’s the only one on this team that can make his own shot. Cross or shot 🧐 #WALSUI. But fifa want me believe mbabu could score a long shot. Bale shot on target please. Wales are awful, Bale Is shot to bits.</t>
  </si>
  <si>
    <t>[["pass", 1.0]]</t>
  </si>
  <si>
    <t>Akanji’s passing has been excellent today. He’s broken the lines on quite a few occasions. I'd take off Moore. Wales need to be passing through, Ramsay,Bale,etc. 3 key passes and an assist from Shaqiri when he has the freedom around the centre but Klopp thinks he’s a winger 🤡.</t>
  </si>
  <si>
    <t>[["manag", 0.765070925791004], ["mbabu", 0.4713974908880096], ["legend", 0.43869224302896537]]</t>
  </si>
  <si>
    <t>MBABU IS WEARING ANKLE SOCKS IN A FOOTBALL GAME???? If literally every wales fan can see ampadu morrell and cabango mepham why can’t the actual football manager see it. Embolo the Football Manager legend... Who else knew Mbabu from Football manager??😂.</t>
  </si>
  <si>
    <t>[["fuck", 0.5929777120564813], ["mepham", 0.31444837547731674], ["pitch", 0.30441071603476544], ["leagu", 0.29934616697338456], ["isnt", 0.29192924189566055], ["shakira", 0.28891846864851833], ["play", 0.27397019971807507], ["battl", 0.2651431708916135], ["rob", 0.23058296823807262]]</t>
  </si>
  <si>
    <t>I FUCKING LOVE THE FOOTBALL EURO 2020. Mepham isn’t a footballer is he. I'd rather watch Shakira play football than Shaqiri Euros 2021. Daniel James is winning the mbabu battle. Unbelievable news! Joe Morrell plays to the ability of a League 1 player.</t>
  </si>
  <si>
    <t>I’d take embolo at arsenal strong pacey looks a handful. Switzerland and Wales both take the knee.. EURO 2020. No way Daniel James' taking their corners 🤡🤡. Why is Daniel James taking set pieces? He’s ass. Apparently the Welsh think ‘Bale is all it takes …’ #WALSWI.</t>
  </si>
  <si>
    <t>[["jame", 0.9196369285039315], ["pass", 0.392769550413286]]</t>
  </si>
  <si>
    <t>What a ball from bale to james. Cross from James, Connor Roberts manages to get on the end of it but Schär gets in the way of the shot. 0-1 (59) Loool bale only wants to pass to James. He knows. Bale’s cross field passes are quality EURO 2020. Embolo be strong pass Thanos.👿.</t>
  </si>
  <si>
    <t>[["suppos", 0.32475023705939415], ["win", 0.31360865452089215], ["man", 0.3119421667029954], ["dull", 0.2935366478696535], ["championship", 0.2883910218967025], ["rather", 0.2877784559166297], ["8pm", 0.27785010971027824], ["third", 0.27616341859297033], ["5pm", 0.2735138596934527], ["abil", 0.27268572472974123], ["jame", 0.27249307717460364], ["least", 0.2642776283954409]]</t>
  </si>
  <si>
    <t>James is the only man on the pitch for Wales who likes like he wants to get in that final third. #WAL. Daniel James is winning the mbabu battle. Who's winning this one? EURO 2020. What am I supposed to do between 4-5pm, and 7-8pm each day? 🥺 EURO 2020 #football.</t>
  </si>
  <si>
    <t>[["daniel", 0.8974112304038585], ["emobolo", 0.441195062920057]]</t>
  </si>
  <si>
    <t>No way Daniel James' taking their corners 🤡🤡. Why is Daniel James taking set pieces? He’s ass. Daniel James has been the best player for Wales today and you love to see it. Watching this game Emobolo looks like a class player liverpool should think of signing🔥 #lfc #WALSUI.</t>
  </si>
  <si>
    <t>[["tackl", 0.676704372788114], ["book", 0.6720385761216868], ["mbabu", 0.3007246981107157]]</t>
  </si>
  <si>
    <t>How's that even a foul never mind a booking?! Fantastic tackle by Mbabu. Can’t tackle in football anymore. Mbabu penalised and booked for a perfectly good tackle. Mbabu booked for tackling and winning the ball. Game's gone. Mbabu yellow 🥵 also wasn't a bad tackle refs shit.</t>
  </si>
  <si>
    <t>[["yellow", 0.9586706384188761], ["mbabu", 0.2845182015856709]]</t>
  </si>
  <si>
    <t>If that is a yellow for Mbabu, football is dead. If that’s a yellow card on Mbabu then what are we doing here? Mbabu yellow 🥵 also wasn't a bad tackle refs shit. What a tackle from mbabu, how on earth is that a yellow? Dan james bodied as per.</t>
  </si>
  <si>
    <t>[["mbabu", 0.7944035768284108], ["yellow", 0.31876099208681324], ["tackl", 0.31876099208681324], ["incred", 0.24911062286651223], ["nice", 0.23182989048993896], ["under", 0.22339341176581226]]</t>
  </si>
  <si>
    <t>#WALSUI nice start to the football day. That was an incredible win from the #SUI player EURO 2020. If that is a yellow for Mbabu, football is dead. Mbabu booked for tackling and winning the ball. Game's gone. Perfect tackle, yellow card…Modern football 🙄 #WALSWI EURO 2020.</t>
  </si>
  <si>
    <t>[["mbabu", 0.6396269733917883], ["yellow", 0.598255824648718], ["ramsey", 0.48266686563668615]]</t>
  </si>
  <si>
    <t>Mbabu won the ball cleanly how is that a foul? That was the harshest yellow for Mbabu. He got the ball.... Free kick to Wales and a yellow card for Mbabu after he has the audacity to win the ball. What a ball from Ramsey... Any chance???</t>
  </si>
  <si>
    <t>[["2nd", 0.8073900045760214], ["mbabu", 0.5900181187986792]]</t>
  </si>
  <si>
    <t>Mbabu will be close to a 2nd. Much better game this 2nd half EURO 2020 #WALSUI. Kevin Mbabu is so underrated he needs a big move. EURO 2020 Kevin Mbabu of #SUI Switzerland gets the second yellow card of the game!! 2nd game and 2nd winner!!! Moore with a card at Lovely stuff ✅.</t>
  </si>
  <si>
    <t>[["mbabu", 1.0]]</t>
  </si>
  <si>
    <t>Kevin Mbabu the first non-England based player to be booked at EURO 2020 #WALSUI. I can't take Mbabu seriously knowing his first name is Kevin. Okay okay… 👀. The bet builder is shaping up, that wasn’t even a yellow but I’ll take it 😂. Mbabu Booked ✅.</t>
  </si>
  <si>
    <t>[["ramsey", 1.0]]</t>
  </si>
  <si>
    <t>Ramsey robbed of an assist. Ramsey being robbed of assists I wanna cry. Ramsey should've score there. Imagine wales players knew how to head a wonderful ball in. Bale and Ramsey put 2 unbelievable crossed in and no fucker trying to score.</t>
  </si>
  <si>
    <t>[["ramsey", 0.7076923201982834], ["free", 0.706520756901289]]</t>
  </si>
  <si>
    <t>Great ball from Ramsey, that needs to be in the back of the net. That’s 2 brilliant free kicks from Wales (Bale/Ramsey) and not one player gambling on getting the final touch on it. Ramsey licks the air in disappointment after that free kick #WALSUI EURO 2020.</t>
  </si>
  <si>
    <t>[["zakaria", 0.9774897485785721], ["embolo", 0.21098291737436933]]</t>
  </si>
  <si>
    <t>Embolo is some player 🔥. Zakaria is the player united should go for. Zakaria is not a good player and Zakaria got Shaqiri is not a good change. The Swiss NT is Borussia FC. Akanji, Sommer, Elvedi, Zakaria, Embolo on the pitch right now. 5/11 players. #SUI.</t>
  </si>
  <si>
    <t>[["embolo", 0.7220924684458094], ["sub", 0.6917965503049562]]</t>
  </si>
  <si>
    <t>Embolo needed at the lane. How good has Embolo been 2nd half? #WALSUI. Someone needs to snap embolo. He's killing us. Embolo second half masterclass. FS SHAQIRI SUBBED. Embolo straight back to Wales goal looking for a second. #SUI. Breel Embolo gives Switzerland the lead! 💥.</t>
  </si>
  <si>
    <t>[["premier", 0.5712612677517307], ["embolo", 0.49367167317516014], ["leagu", 0.4677123155703173], ["book", 0.45955851959785843]]</t>
  </si>
  <si>
    <t>62' Mbabu booked for winning the ball. Gareth Bale is washed dont let Premier League PR fool you, we need to apply Premier league tax. I would say Breel Embolo will be a very good Premier League player. 🏴󠁧󠁢󠁷󠁬󠁳󠁿🆚🇨🇭 THE winning goal? ⚽️ Embolo. EURO 2020.</t>
  </si>
  <si>
    <t>[["littl", 0.6367522197811774], ["star", 0.5576216603605026], ["bring", 0.5325454858512457]]</t>
  </si>
  <si>
    <t>Stars of day one: ▪️#ITA. ▪️The little car that brings the match ball out. EURO 2020.</t>
  </si>
  <si>
    <t>[["take", 0.7427534408431572], ["worst", 0.6695650275482214]]</t>
  </si>
  <si>
    <t>How this Keifer Moore guy take get call up sef? Players don finish for Wales??? I'd take Bale off. Penaldo taking notes on this Seferovic disasterclass and learning new ways to fraud and get carried.. And again worst player on the pitch Kieffer Moore. Wales 🏴󠁧󠁢󠁷󠁬󠁳󠁿.</t>
  </si>
  <si>
    <t>[["stole", 0.37428956291785576], ["play", 0.3569744678312583], ["manag", 0.3539112814860992], ["everywher", 0.31388049839611326], ["hobbi", 0.3124320573228881], ["win", 0.30450984942138515], ["remark", 0.2866189204545339], ["would", 0.2853962025435632], ["bale", 0.28251449375242466], ["leagu", 0.2737636096419322]]</t>
  </si>
  <si>
    <t>Football is just a hobby for Bale #WALSUI. Joe Allen has absolutely stole a football career 🤯💩. A goal for Football Manager players everywhere 👌. EURO 2020 #WALSUI.. Wales would've been winning if Bale was playing. Ben Davies is a remarkably shit footballer.</t>
  </si>
  <si>
    <t>[["moor", 0.963943060143015], ["score", 0.26610858085022343]]</t>
  </si>
  <si>
    <t>Get fuckin in!!! Moore you absolute beauty!. Finally some flair and passion and we score. I think Kieffer Moore deserved a goal only because BBC commentary referred to him by his full name KIEFFER MOORE like 90000 times? Big goal for Wales, great header by Moore! EURO 2020.</t>
  </si>
  <si>
    <t>Golllll Moore. GOOOOOOOOL DE #WAL. GOOOOOOOOOOOOOOOL MAN LIKE MOORE THIS IS FUTBOLLLLLL. Gol Moore. Goooooooooooool de #Wal. EURO 2020. GOLLLLLLL DE MOORE, GOLLL DE #WAL. Goooooooolllllll 🔥🔥🔥🔥🔥 Mooore #Wal EURO 2020. Gol de Wales 1-1 EURO 2020. GOLLL MOORE!!! WALES 1-1 SWISS.</t>
  </si>
  <si>
    <t>[["moor", 0.4372153395570848], ["keifer", 0.39759119590507697], ["beauti", 0.39141432038571483], ["final", 0.37815774655668777], ["inde", 0.35472603346267884], ["win", 0.35208526666380446], ["slow", 0.3236679509822104]]</t>
  </si>
  <si>
    <t>Wales can finally celebrate as key man keifer Moore equalises for Wales 🏴󠁧󠁢󠁷󠁬󠁳󠁿 EURO 2020. Get fuckin in!!! Moore you absolute beauty!. Finally some flair and passion and we score. What a bloody header! One Moore of those and you’ll win! #WAL.</t>
  </si>
  <si>
    <t>[["corner", 1.0]]</t>
  </si>
  <si>
    <t>Wow what a nicely designed corner for #Wal 1-1. A well worked corner for Wales there. Great goal. ⚽. EURO 2020. What a brilliant corner routine that was! 👏 #WALSUI EURO 2020. Lovely execution from Wales on that corner! #WAL EURO 2020. 1-1 Wales, Moore from a corner, lovely header.</t>
  </si>
  <si>
    <t>[["moor", 1.0]]</t>
  </si>
  <si>
    <t>Wales needed to do Moore and up stood Moore 🤩🙌. That is a superb header from Moore. Wales deserve this. Much better second half. This is what happens when half of your fantasy league have Kieffer Moore. It helped that Moore got his ears untucked at half-time. C'mon Wales!</t>
  </si>
  <si>
    <t>[["header", 0.5868967441574653], ["class", 0.578005288478622], ["moor", 0.5669762765655293]]</t>
  </si>
  <si>
    <t>Moore is a class striker, would love Watford to sign him. This Moore striker is a monster in the air. That is class Keiffer Moore. Class header from Moore. What a header Kieffer Moore, no keeper in the world stops that 👏 #WALSUI. Was always gonna be kieffer moore, class header.</t>
  </si>
  <si>
    <t>[["moor", 0.91868353878032], ["take", 0.39499437410432586]]</t>
  </si>
  <si>
    <t>As I was saying, take Kiefer Moore off. Moore is a reyt player btw. Kieffer Moore some player to be fair to him. We so don't deserve that but I'll take it. That's the quality of Kieffer Moore! Best player in red scores. Nice header Moore ⚽️⚽️. #WALSWI #wal.</t>
  </si>
  <si>
    <t>[["header", 0.8146597191918484], ["moor", 0.35529502977642025], ["defend", 0.35529502977642025], ["kieffer", 0.28958664602948075]]</t>
  </si>
  <si>
    <t>1-1 for Wales big goal that. Free header, what kind of defending is that for #SUI. What a header Kieffer Moore, no keeper in the world stops that 👏 #WALSUI. Great header from Moore, poor defending again from a corner to make it 1-1. Switzerland will be kicking themselves now.</t>
  </si>
  <si>
    <t>[["cross", 0.5170853511785165], ["moor", 0.4880706809393481], ["header", 0.46288864203919566], ["head", 0.3835557023523819], ["kieffer", 0.36473124114623323]]</t>
  </si>
  <si>
    <t>KIEFFER MOORE EQUALISES! TALISMAN GETS ON THE END OF A CROSS WITH HIS HEAD! #WAL 1-1 #SUI. Cracking cross and lovely header from Kieffer Moore that 🙌 #WAL. Kieffer Moore lives to head the ball. Kieffer Moore scoring from crosses in red - some things never change! 🥺🥺. #WAFC.</t>
  </si>
  <si>
    <t>[["get", 1.0]]</t>
  </si>
  <si>
    <t>Get in Wales, now to get Tyler Roberts on to win it 🏴󠁧󠁢󠁷󠁬󠁳󠁿. 1-1 - playing with a belief you can win !! #Wal get in !!! Get Kiefer Moore in the premier league. FINALLY! Get in there! #WALSUI. Get Levitt on and go for the win.</t>
  </si>
  <si>
    <t>[["jame", 1.0]]</t>
  </si>
  <si>
    <t>Shut up James, Brooks is a better player than you anyway. Why did Wales take out Daniel James he was there most productive player? I can't believe that Robert page has taken off Dan James. He's been there best player without a doubt.</t>
  </si>
  <si>
    <t>[["ff", 1.0]]</t>
  </si>
  <si>
    <t>Ffs sommer u had 1 job. WHAT A CROSS BY ZAKARIA. No help ffs. Embolo is honestly rubbish ffs. He takes off the only man with energy and pace Dan James ffs still needs to make subs #WALSUI. Get Zuber and Gavranovic on ffs or Gavranovc and vargas.</t>
  </si>
  <si>
    <t>[["zakaria", 0.9608989161549476], ["embolo", 0.27689939135405667]]</t>
  </si>
  <si>
    <t>What a freaking ball by Zakaria. What a cross embolo should be scoring that. That ball from Zakaria 🤤🤤. Switzerland come again, Zakaria at the back door and puts a great ball back in but the offside flag went up against Embolo. 1-1 (78) What a cross from the zakaria.</t>
  </si>
  <si>
    <t>[["equalis", 0.7811669564968838], ["net", 0.6243221813113766]]</t>
  </si>
  <si>
    <t>📸 Kieffer Moore nets the equaliser in Baku ⚽️. EURO 2020.</t>
  </si>
  <si>
    <t>[["equalis", 0.6656235081167865], ["favour", 0.549006072323898], ["ben", 0.5055073471214726]]</t>
  </si>
  <si>
    <t>Ben Davies isn’t a very good footballer. Now, we can we do everyone a favour and win this match pls 🥺 #wal. Ben Davies ruining football for me even when spurs aren’t playing😭🏴󠁧󠁢󠁷󠁬󠁳󠁿. Finally an equaliser by Moore for Wales. EURO 2020.</t>
  </si>
  <si>
    <t>[["equalis", 1.0]]</t>
  </si>
  <si>
    <t>#WAL are back in it! Kieffer Moore with the equaliser. Game on!. EURO 202.. The Swiss manager before Wales equalised. EURO 2020 #football. Finally an equaliser by Moore for Wales. EURO 2020. Switzerland went to sleep for a sec, good equaliser from Wales #WALSUI.</t>
  </si>
  <si>
    <t>[["ben", 0.744784284208691], ["davi", 0.6673053049360148]]</t>
  </si>
  <si>
    <t>Ben Davies can’t cross 🤦🏻‍♂️🏴󠁧󠁢󠁷󠁬󠁳󠁿. Ben Davies needs to stop kicking the ball. Even if Ben Davies plays for Macedonia he should never touch an international tournament. Ben Davies just absolutely hammering every ball. Not sure why. #WALSUI.</t>
  </si>
  <si>
    <t>Gareth Bale I NEED you to score… NOW. Ben Davies needs to stop kicking the ball. Come on!!! We can get this second! Like Slovakia over again. All we need is Bale on a FK at the edge of the box👀😐. When you need him, Kieffer Moore is there. 🏴󠁧󠁢󠁷󠁬󠁳󠁿. EURO 2020 | #WALSUI.</t>
  </si>
  <si>
    <t>[["ben", 0.7369583635442924], ["davi", 0.6759381409582672]]</t>
  </si>
  <si>
    <t>Ben Davies is a horrific footballer. Ben Davies is a shocking footballer. Ben Davies is honestly an embarrassment to football. Ben Davies very poor at football. No wonder Spurs haven't won anything 😂😂😂. Bloody hell Ben Davies' final product has been awful #WALSUI EURO 2020.</t>
  </si>
  <si>
    <t>[["ref", 1.0]]</t>
  </si>
  <si>
    <t>Who is mepham ? Shouting ref as he’s playing 😂😂 great big pansy. This ref is so bad #WALSUI. What‘s with the ref? 🤔 #WALSUI.</t>
  </si>
  <si>
    <t>[["final", 0.7570951679665642], ["pleas", 0.653304604791425]]</t>
  </si>
  <si>
    <t>Can Wales please score one Moore to win the match. Brooks has a sick final ball. Wales are finally really trying to go for this win EURO 2020. Wales have finally woken up. EURO 2020.</t>
  </si>
  <si>
    <t>[["throw", 1.0]]</t>
  </si>
  <si>
    <t>Bale taking throw ins dkm. Gareth Bale taking a long throw is so weird. I never knew Bale could take a throw in like that 😳 #WALSWI EURO 2020. Bale taking throw ins bringing back those Kane taking corner vibes.</t>
  </si>
  <si>
    <t>[["brook", 0.7740458077642705], ["ramsey", 0.6331295976990479]]</t>
  </si>
  <si>
    <t>What a cross by Brooks there. Some ball that in by Brooks. Lovely ball by ramsey. Ramsey half a yard from making contact, lovely ball across from Brooks. Aaron Ramsey would score loads of goals arriving late into the box if he had Tierney whipping in crosses for him.</t>
  </si>
  <si>
    <t>[["2017", 0.6242226948988947], ["non", 0.5631511783667396], ["goalscor", 0.541485713086979]]</t>
  </si>
  <si>
    <t>From non-league in 2017, to a goalscorer at the EUROs... Kieffer Moore, what a story 👏. EURO 2020 #WAL.</t>
  </si>
  <si>
    <t>[["winner", 0.7325672083604986], ["ramsey", 0.6806947078058606]]</t>
  </si>
  <si>
    <t>Ramsey is scoring the winner truss. The Bale Ramsey combo prolly got a goal in this game🙏🏾. That would've been classic Ramsey goal maynnn. Ooof Ramsey almost catching that and scoring. Swiss have lost all momentum since Shaq was subbed off. Ramsey will score the winner EURO 2020.</t>
  </si>
  <si>
    <t>Where was this Wales side in the first half?! #WALSUI. Bale’s not even half the player from 2016. Embolo looks half about tbf. 2nd half very enjoyable than the 1st….. #WALSUI EURO 2020. The first half of this match vs The second half of this match 🤣🤣 #WALSWI EURO 2020.</t>
  </si>
  <si>
    <t>[["offsid", 0.7823774375639699], ["touch", 0.40452457122434393], ["gavranov", 0.34753279463314846], ["embolo", 0.32166189255345584]]</t>
  </si>
  <si>
    <t>Bale touched his bun more times than he touched the ball...🤦🏾‍♂️. GAVRANOVIC SCORES WITH HIS FIRST TOUCH! BUT I THINK ITS OFFSIDE! #WAL 1-2 #SUI??? Lhuk one touch, one goal? 👀 gavranovic. Good pass from Xhaka tbh. Offside though. Offside, but Embolo is balling.</t>
  </si>
  <si>
    <t>[["offsid", 1.0]]</t>
  </si>
  <si>
    <t>What a decent match this has turned out to be.. Even if that goal was offside. 😂😂 EURO 2020. #SUI are back in front, however that is surely offside. Don’t need the lines to see he’s miles offside there EURO 2020. What a sub that would be if it wasn't offside EURO 2020.</t>
  </si>
  <si>
    <t>[["var", 1.0]]</t>
  </si>
  <si>
    <t>VAR and Xhaka ain't in the same WhatsApp group. VAR going to rule this one out... #WALSUI. Looks off, #SUI takes a lead, again. VAR checking. Tell me VAR are watching!!!??? EURO 2020 …. VAR will overturn this goal #WALSUI. First big VAR moment hope they get it right EURO 2020.</t>
  </si>
  <si>
    <t>[["var", 0.7840457838589087], ["exist", 0.6207029956533717]]</t>
  </si>
  <si>
    <t>The Switzerland players celebrating that goal as if VAR never existed. #walsui. VAR taking Embolo’s G/A away. How does it take VAR this long to see what took us 3 seconds!? Madness EURO 2020. Why did that VAR check take so long!? 😂 #WAL #WALSWI.</t>
  </si>
  <si>
    <t>[["var", 0.8017128761932447], ["offsid", 0.4631784394699227], ["second", 0.37778591471382583]]</t>
  </si>
  <si>
    <t>Superb assist from Embolo. Switzerland leads 2-1 or VAR. THE SUB!!!! #SUI. (VAR pending?) How did that take more than 1 second for VAR and how did the linesman miss it. EURO 2020. Takes tv companies seconds to work out a offside but it take VAR a lifetime 🙄 EURO 2020 #walswi.</t>
  </si>
  <si>
    <t>[["intern", 0.5774876321509835], ["var", 0.5247377685533218], ["tournament", 0.4745033124101223], ["pea", 0.4074370079879251]]</t>
  </si>
  <si>
    <t>Well done VAR! Finally it works! EURO 2020. I am actually wanting Wales to win (or at least draw) but inspire of that I hate VAR! We really need to get rid of it! #VAR EURO 2020. If Bale scores in the final minutes, I win peas. International Football Tournaments. Euro 2020.</t>
  </si>
  <si>
    <t>OFFSIDE. Why did they take so long over that? #WAL. Could see that was offside, had three beers, cooked a beef dinner and half asleep, why did it take so long #WALSUI. How did VAR take so long to check that when the majority of people seen it was offside in real time #WALSUI.</t>
  </si>
  <si>
    <t>[["var", 0.7451698789021869], ["net", 0.6668746895608649]]</t>
  </si>
  <si>
    <t>VAR got that call was just a touch offside on that one... (85) - Gavranovic has the ball in the back of the net for Switzerland but VAR overturns it. #WALSUI.</t>
  </si>
  <si>
    <t>Ruled out but once again great play from Embolo, best player on the pitch today. Embolo is one of those players that will excel in tournaments but go and buy and see 😂😂 Betway At 5. Embolo for player of the year #embolo. Embolo. Top player. steven sandbach football manager legend.</t>
  </si>
  <si>
    <t>[["zakaria", 0.5773502691896257], ["cdm", 0.5773502691896257], ["distribut", 0.5773502691896257]]</t>
  </si>
  <si>
    <t>Why a DM with no ability on the ball so high up the pitch?? Zakaria should be deeper. Lol that ball was way too heavy from Embolo, could’ve put Zakaria through on goal. Tell you what, Zakaria ball distribution is fantastic. Love him at CDM.</t>
  </si>
  <si>
    <t>[["play", 0.749422853411497], ["embolo", 0.4401256372019964], ["leagu", 0.3652645030893299], ["breel", 0.33352159307159035]]</t>
  </si>
  <si>
    <t>Superb performance from Breel Embolo. Premier League transfer links surely incoming. Fair play there, should of been 4-1! Not gonna win much playing like that but fair play EURO 2020. Kieffer Moore was playing in the Vanarama National League during the last Euros….</t>
  </si>
  <si>
    <t>(90) - Another Embolo header from a corner is saved by Ward. #WALSUI. Embolo is bullying his mark on these corners. Embolo already scored a corner and now midget Joe Allen is covering him. There was no need for Brooks to give a corner away there. All these corners!!! EURO 2020.</t>
  </si>
  <si>
    <t>What a fucking save Embolo is looking for that. Brilliant save by Ward!. EURO 2020 #Wal. Hell of a save! Fantastic. EURO 2020. What a save Danny Ward!!! Another world class save to save the Welsh again...... Good save from Ward. Embolo has been fantastic today though.</t>
  </si>
  <si>
    <t>[["equalis", 0.6447390163647067], ["moor", 0.5643035860903755], ["react", 0.515628803988502]]</t>
  </si>
  <si>
    <t>GOAL! Wales 1-1 Switzerland (Moore 75').. EURO 2020. 📸 Kieffer Moore nets the equaliser in Baku ⚽️. EURO 2020. Keiffer Moore has more goals at EURO 2020 than Cristiano Ronaldo 👀 #WAL. 🏴󠁧󠁢󠁷󠁬󠁳󠁿🆚🇨🇭 Drop a GIF 📱👇 to react to Kieffer Moore's equaliser... EURO 2020.</t>
  </si>
  <si>
    <t>[["savag", 0.7728683600003448], ["commit", 0.47691259061845664], ["foul", 0.41860348663140634]]</t>
  </si>
  <si>
    <t>#WALSUI savage said commit fouls hes encouraging cheering. Again typical BBC. Cringeworthy from Savage celebrating a var decision EURO 2020. Lol Robbie Savage advocating players using dark arts looooll (fouling) 🤣🤣😂 #WALSUI. "Just commit fouls" growls Robbie Savage. #WAL #SUI.</t>
  </si>
  <si>
    <t>[["club", 0.4618313575494329], ["final", 0.44715326904304303], ["deserv", 0.4373181980325928], ["ward", 0.2469056576129957], ["2017", 0.24327057321743703], ["danni", 0.2430005455664063], ["how", 0.21136818811904862], ["non", 0.21131139194250556], ["goalscor", 0.21102651487712717], ["header", 0.2083549792937406], ["save", 0.1976190816854132]]</t>
  </si>
  <si>
    <t>From non-league in 2017, to a goalscorer at the EUROs... Kieffer Moore, what a story. EURO 2020. #sui deserves to win this. Celtic Football Club im not saying sign danny ward but... This took a while but its finally alive #WALSWI EURO 2020.</t>
  </si>
  <si>
    <t>[["danni", 0.7839014220240348], ["bow", 0.4597992308515377], ["ward", 0.41723282212336826]]</t>
  </si>
  <si>
    <t>Danny Ward, what a player. Breel Embolo best player on the pitch for the Swiss and Danny Ward for Wales 🏴󠁧󠁢󠁷󠁬󠁳󠁿. Danny Ward is outstanding, sign Jim up someone he's too good to be a bench player. Danny Ward take a bow👏👏👏. Danny Ward take a bow. Some outstanding saves.</t>
  </si>
  <si>
    <t>[["ward", 0.7601383376338233], ["danni", 0.6497612697439634]]</t>
  </si>
  <si>
    <t>We have 2 World Class Keepers in the euros wtaf 😭😭 DANNY DANNY WARD. Danny ward has been top class👏. Danny ward still world beater, love to see it. Danny Ward is the greatest goalkeeper in the world 🏴󠁧󠁢󠁷󠁬󠁳󠁿🏴󠁧󠁢󠁷󠁬󠁳󠁿🏴󠁧󠁢󠁷󠁬󠁳󠁿. Danny Ward best GK in the world ? EURO 2020 #WAL.</t>
  </si>
  <si>
    <t>[["danni", 0.7078235161081119], ["ward", 0.7063893190333143]]</t>
  </si>
  <si>
    <t>Two excellent saves from Ward in the final minutes to keep a point for #WAL The offside flag was up for the second one, but still. Danny Ward been doing a madness this half. Danny ward needs to play first team football. Danny Ward needs a fucking knighthood.</t>
  </si>
  <si>
    <t>[["gavranov", 0.7284684843383468], ["offsid", 0.6850793146240745]]</t>
  </si>
  <si>
    <t>Asked why Gavranovic wasn’t on before the 80th minute when he scored a hattrick in his last game. Question answered, cunt lives offside 😂. Gavranovic just living offsides since he came into this game 🏕 EURO 2020. Gavranovic born offside ffs. Gavranovic lives offside.</t>
  </si>
  <si>
    <t>[["rule", 0.5562516609302051], ["wife", 0.5324529724144439], ["offsid", 0.32864169342172955], ["gavranov", 0.3016636180448851], ["scream", 0.26509850985215677], ["swiss", 0.2632779488662999], ["switzerland", 0.2616851590887403]]</t>
  </si>
  <si>
    <t>Danny ward has been exceptional today. but Switzerland should be winning. #WALSUI Gavranovic would be a class player if there was no offside rule in football. The 25% of Swiss in me is screaming for a winning goal #SUI. Wife "How long is the Football on for?" Me... EURO 2020.</t>
  </si>
  <si>
    <t>Take a bow Aaron James Ramsey. Take Bale out... What a keeper Danny Ward is. Still hate Klopp for taking him back. This Welsh squad always take the piss with their team photos. #WAL 😂. WHY take Daniel James off. Craziest decision ever. Take THAT powerade cooler. Euro 2020.</t>
  </si>
  <si>
    <t>[["ethan", 0.7783915438732141], ["ecstasi", 0.6277791048025366]]</t>
  </si>
  <si>
    <t>90+2' Ramsey comes off and it's my star man for Wales Ethan Ampadu replacing him. 🏴󠁧󠁢󠁷󠁬󠁳󠁿 1 vs 1 🇨🇭 live UEFA EURO 2020. Oh baby it's you. Ethan Ampadu. That makes me love you. Now I'm living in ecstasy.</t>
  </si>
  <si>
    <t>[["21st", 0.5383756331797481], ["pass", 0.4966489914112532], ["ward", 0.492871176278967], ["pint", 0.4696482306172117]]</t>
  </si>
  <si>
    <t>Balls To The Ward... #WALSUI. Considering That The 4 bests third Will pass The turn, It's a Good draw for both! Wales Switzerland. EURO 2020. Everyone buy Danny Ward a pint on June 21st pass it on.</t>
  </si>
  <si>
    <t>[["2017", 0.7123393691267939], ["game", 0.40014860403835134], ["produc", 0.3875928747786877], ["masterclass", 0.32346985616903345], ["go", 0.16603068111735594], ["leagu", 0.15883563869135198], ["draw", 0.15747312868611665]]</t>
  </si>
  <si>
    <t>90 minutes of Gareth Bale going missing in a key game of football. Even though it's a draw this was a win for Wales #walsui. What a terrible game of football #WAL #SUI. Danny Ward hasn't played a league game since 2017. He's produced a masterclass for Wales at Euro 2020! 🏴󠁧󠁢󠁷󠁬󠁳󠁿.</t>
  </si>
  <si>
    <t>[["given", 1.0]]</t>
  </si>
  <si>
    <t>Bale really washed. It's okay man, you've given the game all you needed to. #WAL 1-1 #SUI. Have to take that given how we played. Embolo’s the type of player that KSI would have given a career in 2012.</t>
  </si>
  <si>
    <t>[["vanarama", 0.9181783010244376], ["final", 0.39616739836573756]]</t>
  </si>
  <si>
    <t>Danny ward has been no.1 for a long time, glad roberto page finally stuck to his guns. what a display. Kieffer Moore was playing in the Vanarama National League during the last Euros…. Final. #WAL 1-1 #SUI. Final preparations ahead of #WALSUI ✅ EURO 2020.</t>
  </si>
  <si>
    <t>[["best", 1.0]]</t>
  </si>
  <si>
    <t>FT 🏴󠁧󠁢󠁷󠁬󠁳󠁿 1-1 🇨🇭- Wales lucky to get a draw in Baku, very much 2nd best, keeper Danny Ward their best player. Daniel James played the best for Wales. 🥲🥲. 💪🟦🟥 Best of luck to our players at EURO 2020!. 🎨 MTS Media. Danny Ward is the best goalkeeper in the contribution.</t>
  </si>
  <si>
    <t>#WALSUI-volume-10-burst-0.7-grouped-split</t>
  </si>
  <si>
    <r>
      <rPr>
        <u/>
      </rPr>
      <t>The Guardian</t>
    </r>
    <r>
      <rPr>
        <u/>
      </rPr>
      <t xml:space="preserve">, </t>
    </r>
    <r>
      <rPr>
        <u/>
      </rPr>
      <t>BeSoccer</t>
    </r>
    <r>
      <rPr>
        <u/>
      </rPr>
      <t xml:space="preserve">, </t>
    </r>
    <r>
      <rPr>
        <u/>
      </rPr>
      <t>LiveScore</t>
    </r>
    <r>
      <rPr>
        <u/>
      </rPr>
      <t xml:space="preserve">, </t>
    </r>
    <r>
      <rPr>
        <u/>
      </rPr>
      <t>BBC</t>
    </r>
  </si>
  <si>
    <t>Schär</t>
  </si>
  <si>
    <t>Moore</t>
  </si>
  <si>
    <t>Embolo</t>
  </si>
  <si>
    <t>Mbabu</t>
  </si>
  <si>
    <t>Zakaria for Shaqiri</t>
  </si>
  <si>
    <t>Brooks for James</t>
  </si>
  <si>
    <t>Gavranovic for Seferovic</t>
  </si>
  <si>
    <t>Gavranovic (cancelled)</t>
  </si>
  <si>
    <t>Ampadu for Ramsey</t>
  </si>
  <si>
    <t>[["chiellini", 0.7154311855530764], ["anthem", 0.4205817063046954], ["okay", 0.41010074502043264], ["note", 0.37826792884625665]]</t>
  </si>
  <si>
    <t>Can't believe chiellini is still player at 50 👀. Watch Barella and takes notes people. EURO 2020. Now that's how you sing your national anthem. England players take note #ita. I have a feeling that my favourite player to watch will be Okay tonight! EURO 2020 #TURITA.</t>
  </si>
  <si>
    <t>[["footbal", 0.8181617948945273], ["chiellini", 0.574988067158759]]</t>
  </si>
  <si>
    <t>Football is back 😍😍😍. #TURITA. Football! Yes! #TURITA EURO 2020. So Chiellini no go retire from football? Chiellini honestly has the biggest nose in football 😂. Feel like i was watching chiellini play football my whole life. Is Chiellini the best 'bastard' still in football?</t>
  </si>
  <si>
    <t>[["car", 1.0]]</t>
  </si>
  <si>
    <t>Insigne was defo driving that car with the ball in 😂. Genius that match ball in a car thingy 👏🏻 #ita #tur. Why did they use Insigne’s car to bring the ball on the pitch? That car must be brought into the premiership -the car presentation of the ball was brilliant 👏🏽👏🏽#TURITA.</t>
  </si>
  <si>
    <t>[["car", 0.601393570013682], ["control", 0.5747361730692991], ["rocket", 0.5549811756373862]]</t>
  </si>
  <si>
    <t>EURO 2020 #TURITA Euro 2020, sponsored by Rocket League! Ok I want a VW football delivering car #TURITA EURO 2020. He Rocket League #TURITA EURO 2020. Getting excited then thought the ball carrying remote control car was gonna start playing Rocket League 🚀 ⚽️. EURO 2020 #TURITA.</t>
  </si>
  <si>
    <t>[["car", 0.9374200890502298], ["take", 0.34820048340727433]]</t>
  </si>
  <si>
    <t>Yilmaz taking over vs Italy. Ffs hope a player volleys that car Ita Tur EURO 2020. Did you see that little VW car to take the ball out 🤣. EURO 2020. #ita. I cy just see that remote-controlled car taking out some star player before kickoff #TURITA EURO 2020.</t>
  </si>
  <si>
    <t>[["mancini", 0.9323726644638013], ["dress", 0.3614985678542472]]</t>
  </si>
  <si>
    <t>Mancini in that suit. Call it off - that combo should win the euros.. EURO 2020 #Mancini. So out of touch with international football didn’t even know Mancini was Italy manager. Mancini wins best dressed already for EURO 2020.</t>
  </si>
  <si>
    <t>[["ball", 1.0]]</t>
  </si>
  <si>
    <t>Would’ve been better if the car had kicked the ball to the ref #TURITA EURO 2020. Andrea Bocelli, Mancini’s jacket, the RC VW carrying the ball… proper Euro-madness to kick off EURO 2020. The cast of Downsizing driving the ball to the halfway line for kick-off. Nice. #TURITA.</t>
  </si>
  <si>
    <t>[["uber", 0.5901723186473854], ["circl", 0.533533002143768], ["carri", 0.4794170439886659], ["nice", 0.37040311534731557]]</t>
  </si>
  <si>
    <t>It was fucking nice of Insigne to let his Uber carry the football to the centre circle😂.</t>
  </si>
  <si>
    <t>[["insign", 1.0]]</t>
  </si>
  <si>
    <t>That should have been a goal INSIGNE! Insigne should be scoring that. 😌. La hawla this midget Insigne robbing me off a Berardi assist. I reckon Insigne is small enough to fit in that tiny car and that means he could take goal celebrations to a whole new level.</t>
  </si>
  <si>
    <t>[["ff", 0.7384840039010709], ["insign", 0.6742709959521048]]</t>
  </si>
  <si>
    <t>INSIGNE YOU HAVE TO SCORE FFS. Ffsss Insigne bottleman. BURY THAT INSIGNE FFS. Insigne ffs so close. Ffs Insigne. Look at Insigne ffs. Ffs Insigne i last minute transferred you into my Fantasy team. Ffs insigne, I saw 4 points being stole in front of me eyes. COME ON INSIGNE FFS.</t>
  </si>
  <si>
    <t>['hit', 'post']</t>
  </si>
  <si>
    <t>[["insign", 0.7670043375727503], ["target", 0.6416419142672855]]</t>
  </si>
  <si>
    <t>Insigne has to hit that on target. Go near post insigne. Lovely one two, Insigne tries to curl it inside the far post but gets it wrong and it goes wide. 0-0 (18) Dooooh Insigne should have hit the target. Insigne with a miss post-Liverpool Torres would have been proud of #TURITA.</t>
  </si>
  <si>
    <t>[["save", 0.7871101919875356], ["cakir", 0.6168124071947196]]</t>
  </si>
  <si>
    <t>What a save from the keeper on Chiellini’s header. What a save by Cakir! Awful marking by Turkey aswell. Outrageous save from Cakir 👏 would have loved Chiellini to score the opening goal of the tournament EURO 2020. The save from the keeper was impressive EURO 2020 #TURITA.</t>
  </si>
  <si>
    <t>[["offsid", 0.8348547716134493], ["chiellini", 0.5504702628791636]]</t>
  </si>
  <si>
    <t>So close by chiellini swear that was gonna score. Jermaine Jenas. “Chiellini left wide open again”. Yes that probably why he was offside 🤷‍♂️🤷‍♂️🤷‍♂️. Chiellini was offside anyways, but a wonderful save by Çakir. Yilmaz is offside all the bloody time.</t>
  </si>
  <si>
    <t>[["var", 0.7510841509279949], ["ref", 0.660206481507697]]</t>
  </si>
  <si>
    <t>Penalty appeals central, even VAR isn't having those though EURO 2020 #TURITA. Why TF is VAR in another country 😂😂😂 #ITATUR. VAR 0 for 1 after that clear Soyuncu handball. Are the VAR refs in full kit for this tournament? In a different country to the games. EURO 2020 #TURITA.</t>
  </si>
  <si>
    <t>[["soyuncu", 1.0]]</t>
  </si>
  <si>
    <t>Is soyuncu supposed to be good on the ball. Soyuncu has to stop losing the ball😂. It's good pressing from Italy, but Söyüncü and Demiral not showing what they can do on the ball so far. Soyuncu get out and let my boy Kabak ball.</t>
  </si>
  <si>
    <t>Turkey haven't turned up and look nervous in this half #ITATUR. Insigne a half space demon. #ITA with 65% possession through half an hour. But just 7 touches for Immobile. EURO 2020. A lot of bad decisions in this first half by the Italian team euro 2020 #TURITA.</t>
  </si>
  <si>
    <t>[["immobil", 0.7636035547435853], ["assist", 0.5310664004546953], ["score", 0.36725752475756496]]</t>
  </si>
  <si>
    <t>Why isnt the Italian striker scoring goals? Because he is Immobile. Immobile is 100% scoring today. Immobile getting closer, goals defo coming soon. So close to a Berardi assist. Immobile just robbed me of a berardi assist. Immobile wasting a Berardi assist, thanks a lot.</t>
  </si>
  <si>
    <t>Turkey's strategy should be just pass it to Yilmaz 😭. Berardi gotta stop with these flipping chip passes. Why are Italy trying to pass it in? Give it immobile to thundercunt it top bins 🔥. PASS TO BARELLA. Pass the ball to Barella pls.</t>
  </si>
  <si>
    <t>Insigne just score please I beg. C'mon insigne you should be scoring that. Idk man gut says Insigne is scoring. Insigne has come short of scoring the first goal. Insigne soon get the goal man.</t>
  </si>
  <si>
    <t>[["donnarumma", 1.0]]</t>
  </si>
  <si>
    <t>Donnarumma’s awareness as a keeper is top notch. #TURITA. Insigne with a good attempt, turkish gk with a classic donnarumma save, right into his hands. Has a number one international goalkeeper ever started an international tournament without a club? #Donnarumma.</t>
  </si>
  <si>
    <t>[["chiellini", 0.658791379547819], ["insid", 0.6231677072884225], ["imposs", 0.4214924991341747]]</t>
  </si>
  <si>
    <t>10 #TUR players inside the box at one point. Impossible. Chiellini looks like a dad charging onto the field to take charge in a U-11 kids’ match. Chiellini takes football so serious and personal. I like it. The Italians are a passionate lot. Chiellini is still a player 👏🏻.</t>
  </si>
  <si>
    <t>[["cakir", 0.45977602664996636], ["defend", 0.4384822741385997], ["turkish", 0.4376011072894522], ["keeper", 0.39138247747301064], ["pitch", 0.3765982881531758], ["best", 0.33141825111246104]]</t>
  </si>
  <si>
    <t>Jorginho best player on the pitch so far. Turkey defending, Italy passing hoping to find some space, Immobile finally does but it's fairly easy for Çakir. 0-0 (44) #TURITA another good Turkish save. Turkey has such a great goal keeper 😲. #TURITA. Cakir saves Immobile's quick shot.</t>
  </si>
  <si>
    <t>[["dive", 1.0]]</t>
  </si>
  <si>
    <t>Anti football from them and then a Grealish style dive 😂😂😂 #TURITA. Dirty dive from yilmaz what is he thinking 😂. Burak that was a great dive. Don't do it again. #TUR. So the shit ref not gonna book him for diving then?? #TURITA.</t>
  </si>
  <si>
    <t>[["jorginho", 0.6865214981598808], ["chiellini", 0.49464759820481663], ["final", 0.28955740086874543], ["jon", 0.2753747669384543], ["3rd", 0.2628556999277348], ["plumber", 0.23504066989725086]]</t>
  </si>
  <si>
    <t>It feels like Chiellini has played most of the half in the Turkish final 3rd. Spinazzola isn't a real footballer man, he's one of them part-time plumbers from San Marino. Ok Jon Champion is COMEDY right now EURO 2020 #ITATUR. I could watch Jorginho play football all day 🔥🔥.</t>
  </si>
  <si>
    <t>[["jorginho", 1.0]]</t>
  </si>
  <si>
    <t>What a pass Jorginho. I don’t wanna pick on him but Jorginho needs to be braver with his passes. What a ball by Jorginho! Moer that pass by Jorginho. Thats the most typical Jorginho pass and I love it. Jorginho has been class this first half. His passing technique.</t>
  </si>
  <si>
    <t>[["spinazzola", 0.8369077207369859], ["clars", 0.5473440115419398]]</t>
  </si>
  <si>
    <t>Spinazzola has been class till now! Jorginho world clarse. Jorginho is actually world clarse. Not being reactionary but Spinazzola is the best full back in the world. Spinazzola has been class this first half. Spinazzola is class! Spinazzola is class.</t>
  </si>
  <si>
    <t>[["jorginho", 0.7453611460378124], ["spinazzola", 0.521249664549346], ["pitch", 0.4156146643038393]]</t>
  </si>
  <si>
    <t>What a player Spinazzola is. Jorginho what a player. Immobile hadda take this no Jorginho bs. Jorginho is the best player on the pitch. Spinazzola best player on the pitch by far. Jorginho doing the work of 2 players blud he's insane. Jorginho best player on the field yet again.</t>
  </si>
  <si>
    <t>[["half", 0.8926315430695743], ["rob", 0.25221486320383857], ["assist", 0.22904103902215747], ["jorginho", 0.2259478389982679], ["penalti", 0.18995885762965364]]</t>
  </si>
  <si>
    <t>Jorginho getting robbed of assists even in the national team. Good half lads! You can’t lose if you don’t concede 😅😆 #TUR. Slow start but great end to the first half. Hopefully some goals in the 2nd half 🙏🙏 #TURITA. A goal from Insigne or Immobile second half. EURO 2020.</t>
  </si>
  <si>
    <t>[["penalti", 0.7795693293248547], ["ref", 0.6263159432554755]]</t>
  </si>
  <si>
    <t>That’s twice #ita got fucked out of a penalty kick. euro 2020. Literally how many penalties is this ref gonna let slide, so far 1 clear foul and 1 clear handball! Forca Italia! #ITA. Wtf is this ref 💀💀 celik was playing basketball in the box.</t>
  </si>
  <si>
    <t>[["premier", 0.5993203119207253], ["leagu", 0.4282725337726408], ["pen", 0.2909067254120573], ["half", 0.2700741365902949], ["handbal", 0.24592558669531903], ["penalti", 0.2262530473299332], ["play", 0.21576953362767445], ["win", 0.20998575740360959], ["dread", 0.18909423651751245], ["var", 0.17605709041177614], ["possess", 0.17537948411959836]]</t>
  </si>
  <si>
    <t>Italy is playing such an insane football right now #TURITA. #tur will be delighted. Decent half.. Got a #tur pen 1-0 win all over it 😂😂. Penalty check completed in about 2 seconds. Premier League, are you watching? That would've been given in the Premier League. #ita #ITATUR.</t>
  </si>
  <si>
    <t>[["pitch", 0.72053124842114], ["jorginho", 0.6934224686644308]]</t>
  </si>
  <si>
    <t>Jorginho’s broken up play like 6 times in transition this is bread and butter for him. Best player on the pitch. Jorginho is italy's best. locatelli and berardi are the worst. j5 wud finally get the respect he deserves. Jorginho been the best player on the pitch.</t>
  </si>
  <si>
    <t>#ITA 👏 TAKE 👏 YOUR 👏BLOODY 👏 CHANCES 👏. Take Manuel off and bring on Pessina Italy ⭐️⭐️⭐️⭐️. If I was #ITA I would simply take the lead of this game already. Mourinho go take Spinazzola worry waaaaa. Take off Donnarumma and replace him with Belotti. Italy don't need a GK.</t>
  </si>
  <si>
    <t>[["instead", 0.43910144987082533], ["lita", 0.43910144987082533], ["half", 0.33644527290168463], ["handbal", 0.3146854979037725], ["xhaka", 0.3047517584017494], ["spinazzola", 0.2855390015938101], ["domin", 0.2766031202637177], ["ball", 0.27585811899538343], ["that", 0.27412461684131906]]</t>
  </si>
  <si>
    <t>Italy need to get Chiesa on down the right instead of Berardi and they'll win. Italy dominating the ball but they just can’t find that final pass #ITA #TUR. How does a guy named Spinazzola end up becoming a footballer instead of a DJ?😂. EURO 2020. L’#ITA Total Football. Euro 2020.</t>
  </si>
  <si>
    <t>[["pre", 0.6071951859199416], ["park", 0.5501720907108898], ["talk", 0.5090471695227536], ["barella", 0.26362028753365874]]</t>
  </si>
  <si>
    <t>All the pre-match talk about Locatelli and Barella in Italy’s midfield just for Jorginho to be the best player on the park.</t>
  </si>
  <si>
    <t>[["pre", 0.7861113642278019], ["park", 0.3835575372862505], ["talk", 0.35554805694401853], ["jorginho", 0.32939052479715286]]</t>
  </si>
  <si>
    <t>Cesc Fabregas says Jorginho is a good player and part of the reason why he left Chelsea but he’s unsure how he’ll do without N’Golo Kante 👀. All the pre-match talk about Locatelli and Barella in Italy’s midfield just for Jorginho to be the best player on the park.</t>
  </si>
  <si>
    <t>I need Chiesa to come on. Insigne desperately needs a Pen lol😭😭😂😂. Italy need to bring Belotti on. Immobile just doesn't offer enough up front when playing for Italy. No need for 3 CMs here. Take locatelli off put an attacker on. Turkey have no interest in scoring here.</t>
  </si>
  <si>
    <t>[["sub", 1.0]]</t>
  </si>
  <si>
    <t>They subbed off Yazici??? yeah they aren't scoring now lol. Fuck fuck fuck yusuf yazici subbed off fuck go fuck yourself Turkey. 99 pace under is coming on. Good sub.#ITATUR. Why is Di Lorenzo subbed in. WHY DID HE SUB OUT FLORENZI. Cengiz Under good sub from Turkey.</t>
  </si>
  <si>
    <t>[["offsid", 0.8843474839916026], ["corner", 0.46682922740304333]]</t>
  </si>
  <si>
    <t>Imagine practicing and still being offside from a corner 🙄 #TURITA. Berardi is so talented that he can create offside from corner.. #ITATUR. Since when has it been possible to be offside from a corner? #ITATUR. You can’t be offside from a corner! euro 2020 #ITA.</t>
  </si>
  <si>
    <t>Berardi absolute clown. How can you be offside there 😂. The ball didn’t go forward? So it’s not offside? #ITA euro 2020. Since when can you be offside from a corner! #ITATUR. The most stupid offside in football history #TURITA EUROS 2020.</t>
  </si>
  <si>
    <t>[["goal", 1.0]]</t>
  </si>
  <si>
    <t>Kabak should have started ahead of this guy that scored the own goal. It’s an own goal but you see Immobile’s positioning. He could get quite a few goals this tournament. Goooooooooooal #Ita breaks through with a Turkish own goal‼️. Euro 2020.</t>
  </si>
  <si>
    <t>[["demir", 0.9641239283984568], ["gol", 0.2654525394294193]]</t>
  </si>
  <si>
    <t>Ffs demiral’s been their best player too. Spurs linked to Demiral… he then scores an og. Been hit with the Spurs curse. We were linked with this Demiral guy in January?Dont Virgil my Van Dijk😭. Weren't we linked with demiral?😭😭. Italia Turchia Gooooooolll Demiral top.</t>
  </si>
  <si>
    <t>[["demir", 1.0]]</t>
  </si>
  <si>
    <t>Demiral what an awful player. Ffs demiral’s been their best player too. Unlucky Demiral, really like him as a player. GOALLLL ITALY TAKE THE LEAD ITS A DEMIRAL OWN GOAL.</t>
  </si>
  <si>
    <t>[["goal", 0.7815105569557096], ["lead", 0.5140870639520037], ["demir", 0.35349079202149675]]</t>
  </si>
  <si>
    <t>First goal is an own goal. #ITA lead. Italy take the lead via an own goal. 1-0 #ITA #TUR. GOAAAAAAL! WE HAVE OUR FIRST OF EURO 2020. Italy lead through an Own Goal from Demiral! Own Goal leading the golden boot #TURITA EURO 2020. I needed that goal from Immobile.</t>
  </si>
  <si>
    <t>[["locatelli", 0.9606690433327362], ["demir", 0.2776958573370616]]</t>
  </si>
  <si>
    <t>What a ball from locatelli to Barella👏👏👏. That goal was all locatelli btw. Incredible splitting pass. What a pass Locatelli to start the move 👏🏻 EUROS 2020. The first goal of UEFA EURO 2020 goes the way of #ITA as Demiral puts Berardi's cross through his own net! Euro 2020.</t>
  </si>
  <si>
    <t>[["demir", 0.7779192739064592], ["goal", 0.6283642282027577]]</t>
  </si>
  <si>
    <t>Was praising demiral 😭. finally a goal to set the deserved leaders up. An own goal from Merih Demiral opens the scoring finally. Demiral is in my fantasy football team 😭. #ITA have been knocking on the door all match and finally get a goal through a Demiral own goal. EURO 2020.</t>
  </si>
  <si>
    <t>[["defend", 0.8300670823317379], ["demir", 0.5576635534345742]]</t>
  </si>
  <si>
    <t>Lol what was that defender doing see how Berardi just went past him. Best thing Demiral has done for me 💪🏽. Juventus defender Demiral scores for Italy! But in Turkish colours | 0-1 #ITA. Demiral been clarse all game by why is he trying to defend that with his chest.</t>
  </si>
  <si>
    <t>[["demir", 0.5879425920229397], ["net", 0.5460400897554358], ["berardi", 0.42200997395849593], ["goal", 0.4219849650695771]]</t>
  </si>
  <si>
    <t>GOAAAL! 1-0 ITALY! Merih Demiral puts it into his own net. Euro 2020. OOF.. 0-1 to #ITA as Demiral chests a Berardi cross into his own net.. Goal was surely coming.. #TURITA. Berardi should really have shot there on his own.</t>
  </si>
  <si>
    <t>[["merih", 0.728832549337662], ["deserv", 0.6846919855131682]]</t>
  </si>
  <si>
    <t>Finally the deadline is broken through an OG. #ITA take a well deserved lead. Euro 2020. Goal!!!! 🇮🇹 1 - 0 🇹🇷. A Merih Demiral own goal gives Italy a deserved lead. EURO 2020 #TURITA. Italy deserve that, Turkey need to come out and start playing now euro 2020 #ITATUR.</t>
  </si>
  <si>
    <t>[["spinazzola", 0.43659742773438637], ["juventu", 0.43638797732046986], ["juve", 0.4303742321042455], ["demir", 0.3981463310316411], ["goal", 0.37100306558387564], ["player", 0.37089414136645044]]</t>
  </si>
  <si>
    <t>A Juventus player (Demiral) scores a goal, but it's not for his home country. It's an own goal and Italy lead. Italy 1-0 Turkey. 🔥🔥💪💪💙💙At least Juve players know what justice is... thanks Demiral... you are a real Juve player 🖤🤍.</t>
  </si>
  <si>
    <t>[["cross", 0.639607937967577], ["initali", 0.5165557093782154], ["deflect", 0.5088141454121907], ["strike", 0.2553038390351679]]</t>
  </si>
  <si>
    <t>Goal: Italy 1, Turkey 0. Demiral turned Locotelli’s cross into his own net. euro 2020. Corridor of uncertainty from Berardi, what a cross. Tagliatelle with a great cross for Rigatoni #ITATUR. Berardi's cross deflects in—Italy strike first at EURO 2020.</t>
  </si>
  <si>
    <t>[["initali", 0.5969832299330281], ["deflect", 0.5012916435168124], ["strike", 0.4757623905918256], ["cross", 0.40739153037010184]]</t>
  </si>
  <si>
    <t>Demiral finds himself in a difficult situation as Berradi's shot is deflected off him into Goal. ITALY takes the lead ! #ITA #TUR. Insigne cuts in and tries to curl one, this time it takes a deflection over. 0-1 (57) Berardi's cross deflects in—Italy strike first at EURO 2020.</t>
  </si>
  <si>
    <t>[["confus", 0.47145356790673243], ["pitch", 0.4482266924413122], ["juventu", 0.39321399742186486], ["best", 0.3892980225903981], ["happen", 0.3709755038732957], ["teammat", 0.3647346197659486]]</t>
  </si>
  <si>
    <t>What a GK is Gigi Donnarumma. No doubt he will be top 3 of best keepers in the current decade.. Spinazzola best player on the pitch behind Jorginho so far today. Not even the best berardi. Demiral got confused seeing his Juventus teammates on the pitch. Happens to the best.</t>
  </si>
  <si>
    <t>[["insign", 0.7738648448055601], ["need", 0.633350773248179]]</t>
  </si>
  <si>
    <t>Insigne i needed you to score that. Sub Insigne 🤷 EURO 2020. Come on Insigne I need points mf. Insigne's instinctive need of a cut-back is really bad. Need chiesa in for insigne #soon. Berardi i beg my team needs you. Insigne closeeee to a second goal for #ITA.</t>
  </si>
  <si>
    <t>Insigne trash player. Arsenal should look at Insigne. Amazing player. Insigne or Immobile are getting the next goal for Italy, they’ve been the best players on the pitch. What's with insigne and taking a shot every INSTANT?? Is there a player shorter than Insigne?😹.</t>
  </si>
  <si>
    <t>Insigne shot. Absolute scenes here when turkey equalise with their first shot #TURITA euro 2020. Locatelli just had a shot…. surely that just shows turkey are not dark horses. Chiellini shot. 14 shots later, #ITA finally open the scoring in EURO 2020..</t>
  </si>
  <si>
    <t>[["breakthrough", 1.0]]</t>
  </si>
  <si>
    <t>🇮🇹 Italy make the breakthrough in the opener via a Merih Demiral own goal ⚽️. EURO 2020.</t>
  </si>
  <si>
    <t>[["berardi", 1.0]]</t>
  </si>
  <si>
    <t>Berardi does NOT know how to play football. Berardi is not a serious footballer. Berardi is not a real footballer man. How is Berardi an international footballer 😂😂. Berardi is an IDEA footballer. Ppl say Italy are winning the tournament with this Berardi guy on the wing….</t>
  </si>
  <si>
    <t>That line breaking pass from Locatelli. ITALY DO YOU WANT TO PASS TO FUCKING IMMOBILE??? Berardi should have passed there. Locatelli’s pass to barella. led to the goal. Why didn’t he pass to Locatelli i need fantasy points 😭. Berardi selfish easy pass to locatelli that enuh.</t>
  </si>
  <si>
    <t>[["chiesa", 1.0]]</t>
  </si>
  <si>
    <t>Nahhh, this game needs Chiesa. Insigne de do nonsense walai. Chiesa for Berardi is so needed. Chiesa needs to replace this berardi. Chiesa and cristante needed bad. Need Chiesa on. Time to sub Chiesa in. Bring on Chiesa please I need some fantasy points. Chiesa needed so bad.</t>
  </si>
  <si>
    <t>This Berardi player is making a mockery out here. Who joined me on that Berardi hype train? First player to get points on the board in EURO fantasy 2020!! 💙. Berardi warra player. TAKE BERARDI OFF NOW. All three Italy players in the box when Berardi shot that ball EURO 2020.</t>
  </si>
  <si>
    <t>[["lorenzo", 0.7380243423001359], ["next", 0.5081331983198443], ["sub", 0.4439827957676934]]</t>
  </si>
  <si>
    <t>Italy's next sub warming up #TURITA. The impact Di Lorenzo has had since half time is crazy????? Always providing an option!!! The energy and dynamism di lorenzo has brought on that right flank. Needed. Di lorenzo needs to start in the next game. Why is Chiesa not subbed in yet ?</t>
  </si>
  <si>
    <t>[["scene", 0.8043359727643139], ["lead", 0.5941747578930672]]</t>
  </si>
  <si>
    <t>A Juventus player (Demiral) scores a goal, but it's not for his home country. It's an own goal and Italy lead. Italy 1-0 Turkey. 🇮🇹 Scenes after Italy take lead in the Group A opener against Turkey! ⚽️. #ITA EURO 2020.</t>
  </si>
  <si>
    <t>[["lead", 0.7870863746463225], ["scene", 0.6168427991361405]]</t>
  </si>
  <si>
    <t>Is Merih Demiral currently in the lead for the golden boot? EURO 2020. Personally think Jorginho should be leading the goalscoring table with that handball. 🇮🇹 Scenes after Italy take lead in the Group A opener against Turkey! ⚽️. #ITA EURO 2020.</t>
  </si>
  <si>
    <t>[["immobil", 1.0]]</t>
  </si>
  <si>
    <t>Immobile to score a few this tournament calling it now. So happy for immobile, deserves that goal to silence all his haters. Immobile finally gets a big goal. Turkey have been shocking. Immobileeeeee Spinazzola assist ffsss doesnt have both in my team.</t>
  </si>
  <si>
    <t>Gol de #ITA ⚽️⚽️. Gol de #Ita 2-0. Gol T-Mobile #TURITA #strefaeuro. GOOOL #ITA Insigne ⚽️. ¡Gooool de #ITA! Goool de Italia 2-0 #ITA. Gooool de Italia 🇮🇹. #TUR 0-2 #ITA. Gol de #ITA. Immobile fede a gol. Gollllllllll immobile. GOOOL. #TUR 0 x 2 #ITA. Gooooollll de #ITA.</t>
  </si>
  <si>
    <t>Immobile is a poorly named footballer EURO 2020. IMMOBILE FINALLY. Immobile will win golden boot and best player btw. Immobile! Game over, that’s proper football👏. Immobile finally gets his goal 👏🏾. YES IMMOBILE fantasy league points 😎. Wooooo Immobile! Fantasy football rules!</t>
  </si>
  <si>
    <t>Immobile scores the second and it's game, set and match. euro 2020. Quick reaction for the 2nd by Immobile. Proving again that he's not immobile in the least. Turkeyvs Italy. Immobile with the goal from rebound and Italy is leading 2-0! EURO 2020.</t>
  </si>
  <si>
    <t>[["immobil", 0.7885616068923249], ["spinazzola", 0.5635506316720973], ["barella", 0.24613264244584596]]</t>
  </si>
  <si>
    <t>Immobile will win golden boot and best player btw. Immobile is a class player GS 0-2 game over. Immobile tap in for my Fantasy team I take it. Immobile deserved that goal. What a player. Barella is such a good player man. Spinazzola has this Turkey team on their knees.</t>
  </si>
  <si>
    <t>Immobile is class. Very very surprised that Immobile isn’t one of the strikers that we are looking at. He grantees you goals no matter what. Immobile. My strikerrrrrrrrre🔥🔥. People say #ITA don’t have a proper striker. Immobile is good enough to help them go very far.</t>
  </si>
  <si>
    <t>[["move", 0.504063097450516], ["turkish", 0.44183230672359275], ["bestyouunfollowmenowtbh", 0.4259724139141026], ["didnt", 0.33741956717830124], ["save", 0.3276775276814003], ["cakir", 0.2838370803849196], ["immobil", 0.21665685407014476], ["defend", 0.1432616558221322]]</t>
  </si>
  <si>
    <t>What a save! Spinazzola deserved that goal but we move! Amazing save from Cakir but Immobile tucks it home. Immobile doing what he does best. Score goals. 2-0 Italy vs turkey EURO 2020. The Turkish defenders didn’t move… it was almost as if they. #bestyouunfollowmenowtbh.</t>
  </si>
  <si>
    <t>[["barella", 1.0]]</t>
  </si>
  <si>
    <t>All from Barella that little turn and quality pass foward in midfield. Warra pass from barella under pressure blud. That Barella pass. Just give the ball to Barella. Barella’s trivela pass to escape the press in the buildup to that goal was sexy af.</t>
  </si>
  <si>
    <t>[["footbal", 1.0]]</t>
  </si>
  <si>
    <t>What a great name for a footballer: "Immobile". 😀 Euro 2021. Spinazzola is a Footballer. Barella makes football look so easy. Proper lad! I hate football Football 😶. #TURITA. Jorginho is a world class footballer👍. Calhanoglu is a useless footballer.</t>
  </si>
  <si>
    <t>[["cruis", 1.0]]</t>
  </si>
  <si>
    <t>Jorginho will not even need his kit washed, the man is in absolute CRUISE CONTROL. #TURITA. Italy cruise into a 2️⃣➖0️⃣ lead 🛵 #ITA.</t>
  </si>
  <si>
    <t>[["time", 0.8144924509543539], ["full", 0.5801741525941755]]</t>
  </si>
  <si>
    <t>#TUR players at full time.</t>
  </si>
  <si>
    <t>[["lead", 0.9501943974249826], ["ciro", 0.3116578365807192]]</t>
  </si>
  <si>
    <t>🇮🇹 Italy on top! Immobile follows up an own goal to give them a commanding lead over Turkey. #TURITA EURO 2020. Italy lead 0-2 after Immobile scores his first of the tournament from close range. ITALY LEAD 2-0! 🇮🇹. Ciro Immobile with his first goal of EURO 2020 💥.</t>
  </si>
  <si>
    <t>[["fire", 0.9479916910241855], ["ciro", 0.3182950733974767]]</t>
  </si>
  <si>
    <t>2-0 Italy. Ciro Immobile doubles the lead!. Ciro Immobile doubles the lead for Italy ❤️🔥. EURO 2020 #ITA. ITALY LEAD 2-0! 🇮🇹. Ciro Immobile with his first goal of EURO 2020 💥. 📸 Immobile fires in second for Italy against Turkey ⚽️. EURO 2020.</t>
  </si>
  <si>
    <t>[["locatelli", 1.0]]</t>
  </si>
  <si>
    <t>Locatelli, what a player. Locatelli - De Paul - Partey. Midfield goes from ass to class. I'm on my knees Arsenal. Locatelli is a quality player. How dare Mancini take off Locatelli 😂. Locatelli goes off for Cristante. Both Milan Ex Players 🥺.</t>
  </si>
  <si>
    <t>[["14th", 1.0]]</t>
  </si>
  <si>
    <t>🇮🇹 Ciro Immobile celebrates his 14th international goal for Italy ⚽️. EURO 2020.</t>
  </si>
  <si>
    <t>Jorginho has turned into some player since tuchel came in. Jorginho with samba magic what a player. What a player jorginho is. Cesc Fabregas says Jorginho is a good player and part of the reason why he left Chelsea but he’s unsure how he’ll do without N’Golo Kante 👀.</t>
  </si>
  <si>
    <t>Oh Jorginho have mercy, sheer class. Jorginho looking like a world beater tonight… weird. Jorginho has been class tonight. Jorginho is genuinely one of the best midfielders in world football what a joy to watch man. Jorginho is world class suck my dick if you disagree Idc.</t>
  </si>
  <si>
    <t>What version of jorginho is this?!! 👀😲🙆... He's playing too many forward passes 😭😭😭. Jorginho with good skill and spinazola just had a heavy touch. Wat a pass from Jorginho. Great pass by Jorginho there, wasted. Jorginho really balling for this Italian team.</t>
  </si>
  <si>
    <t>[["regista", 1.0]]</t>
  </si>
  <si>
    <t>JORGINHO THE BEST REGISTA IN THE WORLD ‼️‼️‼️.</t>
  </si>
  <si>
    <t>[["insign", 0.6629586108982588], ["pitch", 0.602862422585251], ["spinazzola", 0.4438950097382187]]</t>
  </si>
  <si>
    <t>How has Insigne managed to be the worst player on the pitch in a game where the opposition have touched the ball about 4 times. Spinazzola and Immobile are the only players playing football tonight. Insigne is the best player in the world.</t>
  </si>
  <si>
    <t>[["insign", 0.6080250486281322], ["win", 0.5082490302837439], ["final", 0.43329079361291417], ["spinazzola", 0.42924066865417404]]</t>
  </si>
  <si>
    <t>FT are finally realizing how good Leonardo Spinazzola really is.. If Italy will win the euros insigne surely should win the ballon d'or right?!?!?!?!?!?!?!? Insigne finally scores one of them after 63826 attempts. Insigne finally gets his goal. Been their best attacker.</t>
  </si>
  <si>
    <t>Finally insigne actually scores a far corner placed shot lmao, doing that all day. Some goal from Italy there, lovely finish by insigne too! Only took 100 chances for Insigne to score, can't wait for fans to want him in next. Insigne been the mvp of this game, well deserved goal.</t>
  </si>
  <si>
    <t>Um gol "alla Insigne". Merecia. Goooooooooooooooooooooooooooooooooooooooooooooool de #Insigne. Gol de #Ita 3-0. Goooooool chaparrito Insigne. Gol de Italia Insigne 0-3 Eurocopa 2020. GOOOOOOOOOOOOOOL!!!!!!!!!!!!!!! 🇮🇹. Italshow. Ita Tur. Goooool de Italia 🇮🇹. #TUR 0-3 #ITA.</t>
  </si>
  <si>
    <t>Insigne needs to come to the prem!!!!!! Goal Insigne! Italy now lead Turkey 3-0! 🇮🇹. INSIGNE should have done this in the first half. Seconds later insigne scores 🤦‍♂️ #TURITA. Insigne needed to score after all the short jokes 😭 happy for the guy.</t>
  </si>
  <si>
    <t>[["keeper", 0.870163019811971], ["insign", 0.40830858745806997], ["defend", 0.2758630391330216]]</t>
  </si>
  <si>
    <t>Madness from Turkey keeper.. you've been the only decent player. #TURITA. Chiellini is one of the all time great central defenders 👏 Euro 2021. What a goal from Insigne.. The keeper had no chance... Oh Insigne scored. Lol what was that from the keeper.</t>
  </si>
  <si>
    <t>[["pass", 0.857263634340828], ["insign", 0.5148777148379557]]</t>
  </si>
  <si>
    <t>Just passed home. That's just quality from Insigne. euro 2020. Italy’s passing is a joy to watch. #ITA Euro 2020. That is some awful pass from the Turkish goalkeeper. Euro 2020 #TUR. Lorenzo Insigne what a goal but that Immobile pass 🔥🔥🔥🔥🔥🔥🔥. Euro 2020.</t>
  </si>
  <si>
    <t>[["finess", 0.8663323753650802], ["insign", 0.49946793229825864]]</t>
  </si>
  <si>
    <t>Lovely audible net-ripple with that Insigne goal. euro 2020. With that finesse into the corner Insigne has just become the archetype Pro Clubs Winger. Insigne with an excellent finesse finish into the right corner of the net. 3-0 Italy. Insigne with the finesse shot 🔥 0-3 Italy.</t>
  </si>
  <si>
    <t>Insigne was about to be subbed. Oh well it's a game of luck afterall. Phew, Got my Insigne goal just before he got subbed off. Aloooo immobile sub off ☹️. Immobile subbed off 😓. EURO 2020 #ITA. 😭😂Chiesa getting subbed on. I HAD FUCKING INSIGNE BUT SUBBED HIM OUT I WANNA DIE.</t>
  </si>
  <si>
    <t>[["jorginho", 0.5800904676660934], ["seen", 0.2855212459901395], ["chiesa", 0.28071299866846156], ["champion", 0.27251699053337286], ["ive", 0.2622908351791665], ["enough", 0.25881440002408124], ["footbal", 0.24811741351125235], ["well", 0.22760728469415595], ["carri", 0.1572767333765211], ["good", 0.14513684873796381], ["form", 0.1344429195810937], ["win", 0.1282974328660689], ["deadars", 0.1273384033277742], ["nut", 0.1265446277775952], ["nah", 0.12611164383469792], ["espn", 0.12508403192000533], ["treat", 0.11268597090396505], ["that", 0.10964685020525583], ["first", 0.1045156824955586]]</t>
  </si>
  <si>
    <t>I’ve got Insigne to win the golden boot so kinda wish he’d stayed on. Kebab is not football and is the worst food I ever seen. Bizim Cocuklar #tur. Jorginho has carried on his good form from the Champions League. Playing well for Italy against Turkey. Euro 2021.</t>
  </si>
  <si>
    <t>[["leagu", 1.0]]</t>
  </si>
  <si>
    <t>Immobile for Lazio: 177 games. 123 goals. 33 assists. All league #ITA. Jorginho has carried on his good form from the Champions League. Playing well for Italy against Turkey. Euro 2021.</t>
  </si>
  <si>
    <t>[["curl", 0.5694209295137167], ["lorenzo", 0.4672008523307692], ["corner", 0.4611364261738405], ["uber", 0.33035297178306955], ["possess", 0.268356953047364], ["insign", 0.2523644682874067]]</t>
  </si>
  <si>
    <t>Lorenzo Insigne showing the type of finishing that you'd expect from a potential Silver Ball award winner. Insigne gave out his car to deliver the ball. Insigne's Uber had more ball possession than Turkey. Lorenzo Insigne curling the ball into the far corner first time. Clean 😎.</t>
  </si>
  <si>
    <t>[["curl", 0.7971423798051033], ["lorenzo", 0.6037913764858325]]</t>
  </si>
  <si>
    <t>Lorenzo Insigne curling the ball into the far corner first time. Clean 😎.</t>
  </si>
  <si>
    <t>[["bernardeschi", 0.8923061359163369], ["barella", 0.45143079182312723]]</t>
  </si>
  <si>
    <t>Bernardeschi in, 4 Juve players on pitch for Italy.. #ITA. Bernardeschi wallah you're not a player. Bernardeschi is so bad I can’t take it. Barella. What a player. Bernardeschi and castillejo are the same player. Bernardeschi is by far the worst player on #ITA.</t>
  </si>
  <si>
    <t>[["bernardeschi", 0.7365419375775898], ["barella", 0.6763918791569351]]</t>
  </si>
  <si>
    <t>It’s painful watching Bernardeschi play football. Bernardeschi is lucky we are 3-0 , oml he’s pissing me off and we are winning ffs. Barella is a smashing footballer. In the Premier League that's a red card for that foul on Barella. Barella broken tibia? A win in my book.</t>
  </si>
  <si>
    <t>[["lose", 0.6082789276888823], ["manag", 0.5297789049853456], ["jorginho", 0.4840829856514429], ["barella", 0.2566618741839107], ["prop", 0.22162897668260578]]</t>
  </si>
  <si>
    <t>In Football Manager Italy lose this game 1-0 #TURITA. Jorginho prop, finally. Barella broken tibia? A win in my book. Jorginho and Barella absolutely class controlling the tempo of the game from the midfield in this game. Brilliant football.</t>
  </si>
  <si>
    <t>[["first", 0.5821952345162918], ["time", 0.5814339030741992], ["three", 0.4459351894814676], ["game", 0.35231396799523934]]</t>
  </si>
  <si>
    <t>Lorenzo Insigne’s last 12 games for Italy: Goals: 5 ⚽️. Assists: 7 🎯. EURO 2020 #ITA. ITALY LEAD 2-0! 🇮🇹. Ciro Immobile with his first goal of EURO 2020 💥. 🇮🇹 Italy score THREE in a EURO game for the first time! ⚽️⚽️⚽️. #ITA EURO 2020.</t>
  </si>
  <si>
    <t>[["tackl", 0.7191038599989842], ["chiellini", 0.6949026108272738]]</t>
  </si>
  <si>
    <t>All those years of experience from chiellini there, what a tackle. Chiellini lunging in for tackles like he's not been 36 for the last 3 tournaments. 📸 - Wonderful tackle from Chiellini to deny Yilmaz from scoring there... Chiellini celebrating a tackle 3-0 up. Love to see it.</t>
  </si>
  <si>
    <t>[["chiellini", 0.7112097452645724], ["defend", 0.7029798704377688]]</t>
  </si>
  <si>
    <t>Chiellini body on the line man. My type of defender. That’s why Chiellini is one of my all time favourite defenders Euro 2020. People talk about defenders having pace…. I say Chiellini 🇮🇹. Chiellini at 50 is more agile than our in prime defenders 😭😭.</t>
  </si>
  <si>
    <t>[["chiellini", 0.47158693472610563], ["eas", 0.47158693472610563], ["delight", 0.43745979437790244], ["worst", 0.35566303389985104], ["nico", 0.3456730713386935], ["feet", 0.34329926938830335]]</t>
  </si>
  <si>
    <t>Mancini win will be delightful. Nico barella makes football look so easy. This keeper has the worst feet I've ever seen. Like his first day with a football at his feet! 🤦 #TUR #ITATUR. 28 matches unbeaten. Eased to a 3-0 win on the opening day of EURO 2020. #ITA are all business..</t>
  </si>
  <si>
    <t>[["chiellini", 1.0]]</t>
  </si>
  <si>
    <t>WHAT A TACKLE BY CHIELLINI BEST DEFENDER IN THE WORLD. Chiellini is class. Chiellini is still going crazy, pure class. Chiellini is absolutely world class. What a player. Shows age does not matter. Chiellini class. Proper centre half even though he's ancient.</t>
  </si>
  <si>
    <t>[["chiellini", 0.8248538592149846], ["spinazzola", 0.5653460099250247]]</t>
  </si>
  <si>
    <t>Giorgio Chiellini, take a fucking bow! Euro 2020. Chiellini what a player, like wine better with EURO 2020. What a player Chiellini still is #ITA. Chiellini taking goal kicks is exactly the sort of thing the Euros is all about. Spinazzola football player of the day.</t>
  </si>
  <si>
    <t>[["kebabi", 1.0]]</t>
  </si>
  <si>
    <t>Burak Yilmaz vs Italie | 11/06/21 | Euro 2021 | Skills and Highlight | The best Kebabier in the world 🔥🔥🔥.</t>
  </si>
  <si>
    <t>[["cook", 0.7535607054107276], ["jorginho", 0.6573783258222671]]</t>
  </si>
  <si>
    <t>Jorginho what a player. Jorginho is an extremely intelligent player. Cesc Fabregas says Jorginho is a good player and part of the reason why he left Chelsea but he’s unsure how he’ll do without N’Golo Kante 👀. Jorginho was cooking tonight, star player.</t>
  </si>
  <si>
    <t>[["might", 0.9490546334417663], ["joy", 0.31511157189591504]]</t>
  </si>
  <si>
    <t>Jorginho might win the euros for Italy aw by himself. Chiellini's joy at saving the clean sheet with that tackle in the final minute might have been even better than Italy's goals.</t>
  </si>
  <si>
    <t>#TURITA-volume-15-burst-0.6-grouped-split</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</si>
  <si>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</si>
  <si>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TOpic</t>
  </si>
  <si>
    <t>Under for Yazici</t>
  </si>
  <si>
    <t>Di Lorenzo for Florenzi</t>
  </si>
  <si>
    <t>Demiral (own goal)</t>
  </si>
  <si>
    <t>Ayhan for Tufan</t>
  </si>
  <si>
    <t>Kahveci for Yokuşlu</t>
  </si>
  <si>
    <t>Immobile</t>
  </si>
  <si>
    <t>Cristante for Locatelli</t>
  </si>
  <si>
    <t>Dervisoglu for Karaman</t>
  </si>
  <si>
    <t>Insigne</t>
  </si>
  <si>
    <t>Chiesa for Insigne</t>
  </si>
  <si>
    <t>Belotti for Immobile</t>
  </si>
  <si>
    <t>Bernardeschi for Berardi</t>
  </si>
  <si>
    <t>Söyüncü</t>
  </si>
  <si>
    <t>Dervisoglu</t>
  </si>
  <si>
    <t>That ball from Xhaka was 👌 shame it was offside. That would have been a beauty if Saka wasn’t offside- damn #SOUARS. Offside but what a pass from Xhaka tho ffsss. Saka to Nketiah goal but it was offside my heart is on fire 😭😭😭😭😭.</t>
  </si>
  <si>
    <t>[["xhaka", 0.8187818604300193], ["pass", 0.42007348343543016], ["offsid", 0.3913240773900576]]</t>
  </si>
  <si>
    <t>What a pass from Xhaka man. Missed him so much. Offside but that's what Granit Xhaka is in the side for. What a ball. What a pass from Xhaka to Saka 👏👏too bad ended up with a disallowed goal. See that pass from Xhaka there? that’s why he starts.</t>
  </si>
  <si>
    <t>[["tierney", 1.0]]</t>
  </si>
  <si>
    <t>Aubz hits the bottom of the bar after a glorious ball from tierney fuck me. That was a great ball from Tierney. Super pass from Tierney but Aubameyang hit the cross bar with his shot. He was quite unlucky! Tierney what a pass 👏🏾 Auba should of finished that.</t>
  </si>
  <si>
    <t>[["score", 1.0]]</t>
  </si>
  <si>
    <t>Nketiah scores but Saka had strayed just offside playing him in. Aubameyang should score that.. Will he get 50 before leaving? 😂. Arsenal need to behave, they want to score sha!😳😳. Missing you like Arsenal are missing the chances to score. Auba should have scored that #SOUARS.</t>
  </si>
  <si>
    <t>[["book", 1.0]]</t>
  </si>
  <si>
    <t>Mustafi booked! 👏. But instant booking for Arsenal, ducking ridiculous. So mustafi gets booked for that but hjoberg didnt get book for stopping pepe in full flow. Refs love booking an Arsenal player. Booking? First foul of the game by an Arsenal player. Absolutely.</t>
  </si>
  <si>
    <t>[["mustafi", 1.0]]</t>
  </si>
  <si>
    <t>Hahaha fuck off mustafi booked first tackle, what about hojberg... ah can’t stand it already. What a joke, Mustafi gets the yellow card !!! Fcuk off Premier League you corrupt bunch of c^*ts with the PGMOL. How is that a yellow for Mustafi but not Hojeberg?</t>
  </si>
  <si>
    <t>Booking? First foul of the game by an Arsenal player. Absolutely. Refs love booking an Arsenal player. Booking? Deliberate Foul on an Arsenal player stopping a break. Ah ok. No, then. Refs are banter. How has mustafi got booked but not their player 🤨.</t>
  </si>
  <si>
    <t>[["want", 0.7892201100435504], ["see", 0.6141104281013684]]</t>
  </si>
  <si>
    <t>Mustafi is still the worst defender in the league I see. Southampton win is imminent. You can see it. People are finally seeing what Xhaka offers 🤐. Liverpool want Chelsea to win. Manchester Utd want Chelsea to lose and. Arsenal dont even know what they want...</t>
  </si>
  <si>
    <t>[["knee", 0.712563562135387], ["injur", 0.7016075611885384]]</t>
  </si>
  <si>
    <t>Saka done his knee I’m fucking done. Southampton I’m on my knees. Physio has mask on while talking to injured Saka whereas on the touchline Arteta speaking to players without mask 😂. Another Arsenal player injured?. Better be taking the piss if Saka goes off injured.</t>
  </si>
  <si>
    <t>[["saka", 0.7181224239628435], ["injur", 0.6959167940219073]]</t>
  </si>
  <si>
    <t>I swear to jesus if saka is injured i may actually finally give up. If saka gets injured I’m finished with football. If Saka is injured here I'm never watching football again. Saka down. Stop the league!</t>
  </si>
  <si>
    <t>Take note Tottenham Arsenal #CFC. Only one team in London to win the European Cup 🏆🔵. Always the same you take Aubameyang out he looks sharp! #FPL. Why isn’t Pepe taking it. Ceballos takes too long to think. My goodness.</t>
  </si>
  <si>
    <t>Our midfield has been fluent in its passes and we actually do pass forward. Xhaka is back. Can in just say that Tierney pass earlier was amazing. Can you do the arsenal battle pass thing in vip servers. Has ceballos ever played a pass like xhaka did to Saka in his life?</t>
  </si>
  <si>
    <t>[["final", 0.6924092608397376], ["sweet", 0.5171364456108166], ["slander", 0.5031295182399645]]</t>
  </si>
  <si>
    <t>Hope saka doesn’t pull off some cr7 euro final vibes throughout this match. He looks in a lot of pain whoever he runs 😢. God let Southampton win make arsenal slander sweet tonight.. I’ve finally made the bench for Arsenal. Always knew I’d make it one day.. Finally arsenal 💪🏽😅.</t>
  </si>
  <si>
    <t>[["lead", 1.0]]</t>
  </si>
  <si>
    <t>Arsenal lead. Arsenal takes the lead. Eddie Nketia. Southampton GL error leading to a goal from Arsenal striker. Giroud memories are coming back. Nketiah capitalised on Southampton goalkeeper's error to give Arsenal the lead. Nketiah 1-0. Horror for McCarthy. #AFC lead.</t>
  </si>
  <si>
    <t>[["keeper", 1.0]]</t>
  </si>
  <si>
    <t>Southampton got a curse with these keepers. Wow, what a stupid goal keeper man 1-0 arsenal. What was the keeper doing? Deffo an arsenal fan! Thats a giveaway from the Soton keeper 😂😂 #SOUARS. If that was Lacazette, the keeper would of caught him up.</t>
  </si>
  <si>
    <t>[["main", 0.748845197554566], ["event", 0.5995671834214537], ["gol", 0.23091068213889318], ["sky", 0.16257404324700497]]</t>
  </si>
  <si>
    <t>20'/1º - GOOOOOOOOOOOOOOOOOOOOOOOOOOOOL DO ARSENAL! Edward Nketiah. Southampton 0x1 Arsenal. OH esse gol do arsenal KKKK. O gol do arsenal ??????? WTF MCCARTHY. Gol do Arsenal. GOAL! Southampton 0-1 Arsenal (Nketiah, '20) Watch live on Sky Sports Main Event now or follow below!</t>
  </si>
  <si>
    <t>[["mccarthi", 0.6808812724949895], ["tap", 0.6398944911254899], ["alex", 0.2913629277012204], ["clearanc", 0.2050448179160542]]</t>
  </si>
  <si>
    <t>Lmaooo where was McCarthy passing to. McCarthy gets caught on the ball, Nketiah blocks his clearance and taps into an empty net. 1-0 to the Arsenal. Alex McCarthy appreciation tweet! 👏. The most vital of touches from Alex McCarthy to deny Aubameyang!.</t>
  </si>
  <si>
    <t>[["caught", 0.6257389492384522], ["net", 0.38208650444315695], ["clearanc", 0.3749010298182818], ["empti", 0.34849144251139896], ["tap", 0.32973984233324977], ["mccarthi", 0.302878258123502]]</t>
  </si>
  <si>
    <t>McCarthy’s been asking for that since kick off. #Arsenal go up 1-0! Nketiah takes it off Alex McCarthy's foot and walks it into the empty net. McCarthy gets caught on the ball, Nketiah blocks his clearance and taps into an empty net. 1-0 to the Arsenal.</t>
  </si>
  <si>
    <t>[["striker", 1.0]]</t>
  </si>
  <si>
    <t>Nketiah is the best striker in the prem. Very good strikers play from Nketiah. Arsenal have deserved that. If there was a match between Arsenal and super strikers would Arsenal win oba🤔. Nketiah is the best 3rd striker in #FPL. Arsenal striker scored but it wasn’t Aubameyang???.</t>
  </si>
  <si>
    <t>[["bellerin", 1.0]]</t>
  </si>
  <si>
    <t>Football is Bellerin’s second option lmao I’ll keep saying this. Man is a fashionista at heart. AMN needs to grow up take this Bellerin guys place. Bellerin needs to do better 🙄. Bellerin is half the player he was pre-injury. And a full time woke activist. Shame.</t>
  </si>
  <si>
    <t>[["lead", 0.7218889062587147], ["atroci", 0.3654660307058474], ["leagu", 0.34992834639211995], ["bellerin", 0.3426397046316425], ["spade", 0.3247447807462444]]</t>
  </si>
  <si>
    <t>Ole looking for Arsenal in the Premier League. Arsenal is leading.... Possibly winning this. 😎😎😎. Bellerin is an atrocious footballer. Bellerin is the worst right back in the league. Let’s call a spade a spade guys, since football restarted, Bellerin has been straight trash.</t>
  </si>
  <si>
    <t>[["bellerin", 0.7845430404932171], ["howler", 0.620074364583522]]</t>
  </si>
  <si>
    <t>AMN needs to grow up take this Bellerin guys place. Bellerin is half the player he was pre-injury. And a full time woke activist. Shame. Bellerin is one finished player. When there’s a defensive howler in the Arsenal game but it isn’t made by an Arsenal player.</t>
  </si>
  <si>
    <t>Bellerin can’t seem to kick a ball these days. Bellerin has been so wasteful on the ball so far. Dear God ! The fuck has happened to Bellerin ?! Need to take him off. Not even 25 mins, already given the ball away 50 times. Does Bellerin know he can pass it to Pepe if he wants?</t>
  </si>
  <si>
    <t>[["dubravka", 0.4753768837517815], ["season", 0.4486522710927083], ["eddi", 0.4170751597566797], ["lacazett", 0.40900662356252143], ["martin", 0.2318365494974662], ["nketiah", 0.2301187676908884], ["error", 0.21608855505545344], ["enough", 0.203892456606066], ["suffer", 0.19110369075570394]]</t>
  </si>
  <si>
    <t>Arsenal need to win this.., their fans have suffered enough! Eddie Nketiah with more away Premier League goals this evening than Lacazette has this season. Only Martin Dúbravka (5) has committed more errors leading to goals in the Premier League this season than Alex McCarthy (3).</t>
  </si>
  <si>
    <t>Calm down Xhaka fan boys, he’s touched the ball twice. Has Pepe touched the ball yet? Err ings that touch was dirty. Has Pepe had a single touch? Alex McCarthy appreciation tweet! 👏. The most vital of touches from Alex McCarthy to deny Aubameyang!. That touch from Ings 😍.</t>
  </si>
  <si>
    <t>[["angri", 0.7394988490491562], ["partner", 0.6731578212090931]]</t>
  </si>
  <si>
    <t>Arsenal are winning and DT is still so fucking angry😭. Arsenal win? DT angry. Arsenal draw? DT angry. Arsenal lose? DT angry. Hotel? Trivago. Xhaka will finally get a proper midfield partner. Tears on his eyes!.</t>
  </si>
  <si>
    <t>[["half", 0.8963576058377766], ["bellerin", 0.32128678636427144], ["away", 0.3054796938660377]]</t>
  </si>
  <si>
    <t>Bellerin need fi guh model a lef man club Kmt. How many times has Bellerin lost the ball this half ffs. Bellerin has been awful this half I must say! Eddie Nketiah scored away against Burnley. Went on loan for half a season and came back and scored an away goal before Lacazette.</t>
  </si>
  <si>
    <t>[["worst", 0.8673627840250278], ["someth", 0.4976764017796634]]</t>
  </si>
  <si>
    <t>This is potentially the worst half of football I’ve ever seen bellerin play 💩. No wonder that Southampton have the worst home record in the league. Something about seeing arsenal win doesn’t seem right. Is Hector Bellerin the worst Right back in the Premier League ? #SOUARS.</t>
  </si>
  <si>
    <t>Saka has pocketed Valery this whole half. What a player! Would love to see Ozil on to start the second half. Its half time already, and Arsenal lead by 1 goal to nil. Arsenal need a midfielder who can get on the ball in the opposition half and make things happen.</t>
  </si>
  <si>
    <t>[["nketiah", 1.0]]</t>
  </si>
  <si>
    <t>Nketiah big chance! A second goal and I will be confident. Nketiah needs to explain himself. The fuck was that? This Nketiah boy needs Vaseline. Poor miss there, Nketiah you need to do better than that. Eddie Nketiah has justified his starting shirt this first half.</t>
  </si>
  <si>
    <t>[["break", 0.6925656580026759], ["ahead", 0.5250478322318651], ["let", 0.49464894948229665]]</t>
  </si>
  <si>
    <t>Half-time in the 6pm kick-offs: - Southampton 0-1 Arsenal. - Burnley 0-0 Watford. How's everyones bets looking at the break? 🤔. 🤔 The thinking behind our #SOUARS selection? Mikel Arteta gives an insight ahead of kick-off 👇. Ahead at the break. Let's kick on. 💪. #SOUARS.</t>
  </si>
  <si>
    <t>[["leagu", 0.7089304025585921], ["half", 0.7052784445367042]]</t>
  </si>
  <si>
    <t>Half-time at St Marys Stadium Premier League Southampton FC 0-1 Arsenal. If Leeds started Nketiah and kept him for the season they would have won the league by now. Bamford is half the player. Dogshit half of football but we are ahead and I guess that is what matters. #SOUARS.</t>
  </si>
  <si>
    <t>I know Bellerin is taking the stick for his passes or rather the lack of them but he's been solid defensively. Take obafemi off. Take falery off. Djenepo and kwp on please. Or kiss this game goodbye. Southampton keeper on the take? Seems as such.</t>
  </si>
  <si>
    <t>[["cohes", 0.7071067811865475], ["flaw", 0.7071067811865475]]</t>
  </si>
  <si>
    <t>We look much more cohesive with Xhaka in the midfield showing for the ball and popping it around. Important player despite his flaws.</t>
  </si>
  <si>
    <t>[["asap", 0.8465838743234755], ["amn", 0.36122075244966306], ["need", 0.3333553361966], ["lead", 0.20418014488290692]]</t>
  </si>
  <si>
    <t>We need a better RB to get more out of Pepe. Arteta needs to do something about Ballerin, both in this match and the long term. Bellerin turns like tractor guy is finished AMN needs to be 1st choice RB. Eddie Nketiah gives Arsenal a 1-0 lead going in to the break 🔴.</t>
  </si>
  <si>
    <t>[["long", 0.8472830829898641], ["shane", 0.5311415793168437]]</t>
  </si>
  <si>
    <t>We need to see that Long and Ings link up now #saintsfc. Ffs shane long hattrick incoming. Shane long ffs. Bellerin and ceballos have been arse, they need to improve massively. Shane long has entered ffs. I hate it already😭. FFS. Shane Long is gonna finish us.</t>
  </si>
  <si>
    <t>[["second", 1.0]]</t>
  </si>
  <si>
    <t>Sol Campbell “a second goal for Arsenal kills the game as a contest”. Shane Long coming on second half. Second half here we gooo #SOUARS. Second half underway. #Arsenal 1 - #Southampton 0. The Gunners need to see this one out. They need the points.</t>
  </si>
  <si>
    <t>[["saka", 0.728309253965773], ["red", 0.6852485903581409]]</t>
  </si>
  <si>
    <t>Wtf injuring our player. That's a clear red for Saka. Saka sees yellow. Hopefully VAR leaves that be. That could be a red for the #Arsenal man. Should that be a red card for saka? wow. goes after the spurs player. Saka lucky not to get away with a red there 😳.</t>
  </si>
  <si>
    <t>[["touch", 0.6303678190075211], ["aubameyang", 0.5684766243132017], ["martinez", 0.5286499223202137]]</t>
  </si>
  <si>
    <t>Why is Aubameyang passing that. Insane touch from Aubameyang but that pass has to find a way 🤷‍♂️🤷‍♂️🤷‍♂️. What a touch that was from aubameyang. What a pass by Martinez and what a first touch by Auba. Shame that didn't end up at Nketiah's feet. What a ball by Martinez #SOUARS.</t>
  </si>
  <si>
    <t>[["ederson", 0.7330085433537773], ["alan", 0.6802194317794615]]</t>
  </si>
  <si>
    <t>Alan Smith on Emi Martinez’s pass to Aubameyang: “Ederson at Man City would’ve been pleased with that.” [Sky] #afc.</t>
  </si>
  <si>
    <t>[["willock", 0.9430263114775126], ["lead", 0.33271816280617666]]</t>
  </si>
  <si>
    <t>Arsenal are leading Southampton 🙆‍♂️. #SOUARS willock is the worst sub to come on now. Why’s he bringing on Willock when we need a fucking goal. Willock isn’t a bad sub tbh. But for who. Willock not Ozil? Omg man, Arteta needs to let go of that ego kmt.</t>
  </si>
  <si>
    <t>[["willock", 1.0]]</t>
  </si>
  <si>
    <t>Willock ffssssss. Willock ffs we're asking to lose. Joe Willock? Ffs. Ffs Mikel why Willock. What will willock do in this match ffs. Why is Willock coming on ffs. Pepe for willock this arteta dude is frauding a living. Oh ffs why is Willock playing so much. Willock on again ffs.</t>
  </si>
  <si>
    <t>All Southampton at the moment looks like a matter time before they equalise #COYG. A lil bit surprised as how Southampton are yet to get an equaliser in this game. Southampton equaliser please! 🥺🤞🏼 #SOUARS.</t>
  </si>
  <si>
    <t>[["tierney", 0.495970216433128], ["footbal", 0.44906970287559667], ["chelsea", 0.4324587245994865], ["injur", 0.4307226025387208], ["confus", 0.4240370709626179]]</t>
  </si>
  <si>
    <t>Tierney gets hurt more than my feelings. #SOUARS Premier League. Liverpool want Chelsea to win or draw. Man u want Chelsea to lose.. Arsenal are just confuse. Come on Chelsea 💙💙. Watching Arsenal play football is 2020 summed up. If Tierney is injured again, I’m done with football.</t>
  </si>
  <si>
    <t>[["sead", 1.0]]</t>
  </si>
  <si>
    <t>A second sub now as KT leaves the pitch... ↩️ Kieran Tierney. 🔛 Sead Kolašinac. #SOUARS 🔴⚪️ 0-1 🟡🟡 (70).</t>
  </si>
  <si>
    <t>Really disappointed in Southampton here, this has been awful against an Arsenal team absolutely there for the taking. How this Willock take become a top flight footballer? Ozil is taking the piss out of Arsenal, my guy is just enjoying the weather 😂😂😂😂.</t>
  </si>
  <si>
    <t>[["willock", 0.7768087830821889], ["see", 0.6297365437437854]]</t>
  </si>
  <si>
    <t>Is this willock a footballer at all ? 🥴🥴🥴🥴. How this Willock take become a top flight footballer? I get sad when I see Mezut Ozil, even if he is not at a football game. Happy to see arsenal winning cl. Come home to see arsenal winning??? Miracles do happen.</t>
  </si>
  <si>
    <t>[["half", 0.7676311281126608], ["lead", 0.6242188961743337], ["six", 0.1452350536591637]]</t>
  </si>
  <si>
    <t>Oyo Redmond wanted to score right from the first half naye waaaa.😂. Southampton with six shots to Arsenal's one in the second half. Arsenal better find that second goal... This 1-0 lead odikwa risky. Arsenal are leading 0-1. at the end of this game the score will be 1-1.</t>
  </si>
  <si>
    <t>[["coast", 0.50016087929368], ["save", 0.50016087929368], ["cool", 0.4460583730170326], ["south", 0.41164183200198173], ["deni", 0.3622997649126972]]</t>
  </si>
  <si>
    <t>North London are saved #SOUARS. Mesut Ozil is trying his best to keep cool down on the south coast! ☀☂. Good save #SOUARS 1-0. Brilliant save from Martinez to deny Long. Arsenal living dangerously now. 15 minutes to go. Cracking save by Martinez #AFC #SOUARS. Great save Arsenal.</t>
  </si>
  <si>
    <t>[["deni", 0.6198263455800219], ["brilliant", 0.5694365757433351], ["danger", 0.5399604499689031]]</t>
  </si>
  <si>
    <t>Brilliant save from Martinez to deny Long. Arsenal living dangerously now. 15 minutes to go.</t>
  </si>
  <si>
    <t>[["conced", 1.0]]</t>
  </si>
  <si>
    <t>We're waiting to concede before we make subs or have we subbed? Apart from Tierney? Won't be Arsenal if we were to concede then concede the way we scored. How hasn’t arsenal conceded ? 😶. Tierney goes off, Arsenal nearly concede. That is the goal Southampton conceded? My goodness.</t>
  </si>
  <si>
    <t>[["final", 0.9267089589922105], ["want", 0.2318558638675652], ["man", 0.21148219409807537], ["hear", 0.2067090837221784]]</t>
  </si>
  <si>
    <t>Arsenal finally making moves post the hiatus 🙏🏼. Liverpool want Chelsea to win,Man United want man city to there is Arsenal 😂😂😂 #SOUARS. Bellerin finally getting to plant some trees. No way,we lose this now finally arsenal ffs. Willock fucking finally man I can breathe easy.</t>
  </si>
  <si>
    <t>What a pass by xhaka😷. Alan Smith on Martinez’s brilliant pass to Aubameyang: “Ederson at Man City would’ve been pleased with that.” #afc. Just when I was thinking Xhaka had changed our midfield he makes a horrific pass that kills our attack. Sums him up really.</t>
  </si>
  <si>
    <t>[["penalti", 0.7119957090965913], ["wonder", 0.7021838151282344]]</t>
  </si>
  <si>
    <t>Arsenal never hold ball since 2nd half... mini pep is doing wonders. Penalty fc fans wondering how arsenal is taking the lead.</t>
  </si>
  <si>
    <t>[["card", 0.935245477707498], ["red", 0.35399985371137355]]</t>
  </si>
  <si>
    <t>Arsenal 9/2 for a 2-0 win before the the card, lovely stuff. Evryone is Arsenal is getting a red card, even their fans, why wouldn't I? It had to be a red card for Stephens. Arsenal made an opponent get a Red Card! Maaaaaaad! 😂 😂 😂. Finally we get a break. Red card to Southampton.</t>
  </si>
  <si>
    <t>[["card", 0.6404274205133056], ["var", 0.5590504754715112], ["red", 0.3759674164460686], ["sent", 0.36873267647527425]]</t>
  </si>
  <si>
    <t>A RED CARD FOR THE OPPOSITION? VERSUS ARSENAL!? Miracles can happen in the refereeing game. VAR didn’t change that red card.. Stephens got the ball sha. Red card!. Southampton are down to 10 men after Stephens is sent off for fouling Aubameyang P-E. #SOUARS 🔴⚪️ 0-1 🟡🟡 (85)</t>
  </si>
  <si>
    <t>[["red", 0.7289977562244399], ["sent", 0.6845160855814364]]</t>
  </si>
  <si>
    <t>RED CARD! Jack Stephens has been sent off for being the last man and taking down Aubameyang. #SOUARS. Red One more player for Arsenal. A red card and it’s not a Arsenal player 😍. People that can still score this Arsenal team even if they have two player sent off 🙄.</t>
  </si>
  <si>
    <t>I was gonna say willock has been shit.... he really was until he scored. Eddie Willock as our goal scorers 🤟👏 love it 💪. Willock! 2-0!. Willock gets a goal as he tends to do at times.. Reacted well to Lacazette’s shot to secure the deal.</t>
  </si>
  <si>
    <t>[["willock", 0.8414251433083962], ["gol", 0.5403736931128724]]</t>
  </si>
  <si>
    <t>GOOOOOOOOOOLLLLLLLLLL! Southampton 0-2 Arsenal. (Willock 87’) #SOUARS. COME ON YOU GUNNERS 🟡🟡. Willock dey net where Auba dey ffs. Yesssss Willock. Shite free kick by Laca but he had a stinger off a rebound shot and Willock finishes it off. Or will he... offside?😅👀.</t>
  </si>
  <si>
    <t>[["goal", 0.8297302541658169], ["willock", 0.5581645862305568]]</t>
  </si>
  <si>
    <t>Arsenal have a 2 goal lead. I repeat Arsenal have a 2 goal lead. Enjoyed the build-up to this Arsenal's 2nd goal! 🔥. Willock on for Pepe is a bad sub 🥴🥴🥴🥴. GOAL! Joe Willock gives Arsenal a two-goal cushion, and surely three much-needed points.</t>
  </si>
  <si>
    <t>[["willock", 0.7929533339403737], ["shot", 0.6092823731184467]]</t>
  </si>
  <si>
    <t>Very good shot from Lacazette to get that rebound for Willock. WILLOCK YOU LOVELY MANNNN. that laca shot. 🤤. Willock dey net where Auba dey ffs. Willock! 2-0!. Willock gets a goal as he tends to do at times.. Reacted well to Lacazette’s shot to secure the deal.</t>
  </si>
  <si>
    <t>Willock saving me from ending it all! Mc Arthur is out there saving arsenal fan lives. Black Excellence saving Arsenal once again. Finally bellerin can save the planet 😂. 3000 trees. Arsenal saving the earth. Bellerin time to save the world. God save Arsenal.</t>
  </si>
  <si>
    <t>I swear to god Saka has aim it for crosses. 94: Saka's cross deflected for another Arsenal corner. 😇0-2🍌. #SOUARS. Saka’s crosses are soooo good. Rob Holding had a good with those crosses and over the top balls really well. Unreal cross from saka ffs, need him at the bridge.</t>
  </si>
  <si>
    <t>FT: Southampton 0-2 Arsenal. xG:. TOP HALF!!!. Arsenal back into the top half? Eddie Nketiah scored away against Burnley. Went on loan for half a season and came back and scored an away goal before Lacazette. Points collected but poor show in 2nd half Arsenal Mikel Arteta.</t>
  </si>
  <si>
    <t>#SOUARS-volume-15-burst-0.7-grouped-split</t>
  </si>
  <si>
    <r>
      <rPr>
        <u/>
      </rPr>
      <t>The Guardian</t>
    </r>
    <r>
      <rPr>
        <u/>
      </rPr>
      <t xml:space="preserve">, </t>
    </r>
    <r>
      <rPr>
        <u/>
      </rPr>
      <t>BeSoccer</t>
    </r>
    <r>
      <rPr>
        <u/>
      </rPr>
      <t xml:space="preserve">, </t>
    </r>
    <r>
      <rPr>
        <u/>
      </rPr>
      <t>BBC</t>
    </r>
  </si>
  <si>
    <t>Saka (disallowed)</t>
  </si>
  <si>
    <t>Mustafi</t>
  </si>
  <si>
    <t>Nketiah</t>
  </si>
  <si>
    <t>Long for Obafemi</t>
  </si>
  <si>
    <t>Walker-Peters for Valery</t>
  </si>
  <si>
    <t>Saka</t>
  </si>
  <si>
    <t>Willock for Pepe</t>
  </si>
  <si>
    <t>Kolasinac for Tierney</t>
  </si>
  <si>
    <t>Lacazette for Nketiah</t>
  </si>
  <si>
    <t>Maitland-Niles for Ceballos</t>
  </si>
  <si>
    <t>Stephens (red)</t>
  </si>
  <si>
    <t>Willock</t>
  </si>
  <si>
    <t>Romeu for Højbjerg</t>
  </si>
  <si>
    <t>Vestergaard for Ings</t>
  </si>
  <si>
    <t>[["count", 0.8192748135281072], ["kick", 0.5734010637577204]]</t>
  </si>
  <si>
    <t>10 minutes to kick off #LEIMUN #GGMU. Counting down to kick-off ⏳. #MUFC #LEIMUN.</t>
  </si>
  <si>
    <t>[["prepar", 0.8390485848465283], ["know", 0.5440564973116653]]</t>
  </si>
  <si>
    <t>United fans just doing the acting you know leicester arn’t winning without 4 main players🥱. Who else knows it's a must for Manchester United to win Leicester City 😍😍💪💪💪. Final preparations for #LEIMUN ✔️. We know what we need to do ✊. #MUFC. Final preparation. #LEIMUN.</t>
  </si>
  <si>
    <t>[["prepar", 0.8262388102877501], ["know", 0.5633200053027437]]</t>
  </si>
  <si>
    <t>Final preparations for #LEIMUN ✔️. We know what we need to do ✊. #MUFC.</t>
  </si>
  <si>
    <t>Leicester with two strikers just to win man u #LEIMUN. Hoping for Leicester v United as a draw and Wolves win🤤. Finally finally dem come reach King power 😹... Leicester city we move.. Win win 😂😂😂. Chelsea to win. Leicester to win. Do it lord🙏🏿.</t>
  </si>
  <si>
    <t>Martial what was that dive?😂😂😂. Manchester diving United. Easy o. Martial diving course he try and get the softest penalty VAR will ever give #LCFC. Hei dont dive ! #LEIMUN. That Martial dive, LOL, absolute cheats of a team, needs a yellow. Offside aside what a dive by Martial.</t>
  </si>
  <si>
    <t>[["pogba", 1.0]]</t>
  </si>
  <si>
    <t>Pogba better not be stupid and lose balls today. Pogba for the love of God stop taking a billion touches. Sometimes it's ok to give the simple pass Pogba. Pogba shouldn’t start those things today. Had a very easy outlet pass out wide and gave it away needlessly smh.</t>
  </si>
  <si>
    <t>[["yellow", 0.8211698852461106], ["maguir", 0.5706838175074617]]</t>
  </si>
  <si>
    <t>Maguire on a yellow already ffs they’re gonna target him. Thats a bad yellow maguire man, so early in the game. Maguire now at risk for the rest of the game with that yellow 🤦🏾‍♀️. Maguire playing 81 minutes against Vardy on a yellow card.</t>
  </si>
  <si>
    <t>[["maguir", 0.7818699555350683], ["book", 0.6234415551048794]]</t>
  </si>
  <si>
    <t>Maguire lool should be a red ref. Maguire that was so so stupid. No need to be diving in like that. Lot of pressure the rest of the game now. Maguire the fridge is going to give away a penalty this game #MUFC. Maguire booked so early on and for what?</t>
  </si>
  <si>
    <t>[["maguir", 1.0]]</t>
  </si>
  <si>
    <t>Hopefully Maguire gets a second yellow. Really there was no need for a tackle from Maguire. Maguire needs to hold kelechi's slippers. Maguire, dead was that, not needed at all. Harry Maguire is booked for a foul on the half way line. Maguire needs to be careful #LEIMUN.</t>
  </si>
  <si>
    <t>[["rashford", 1.0]]</t>
  </si>
  <si>
    <t>I don’t think rashford or pogba have actually strung a pass in the first 10mins. Wake up. How tf is Rashford’s long range passing so good post lockdown. I can’t lie that was a good ball from rashford. Rashford why you so deep hog the touch like come on man!</t>
  </si>
  <si>
    <t>[["matic", 1.0]]</t>
  </si>
  <si>
    <t>Terrible from the CBs and Matic again. Time and time again they are appalling at passing from the back. A chronic problem. What was that by Matic? In the box all you do is get the ball out. Matic sometimes need to look where he is passing 😳😳😳😳.</t>
  </si>
  <si>
    <t>Matic I swear to the living Jesus don’t let me fucking slap u. Wallahi I hate Maguire and matic ffs 2 tall dumb fools. Matic mistake ffs!! Matic a true Jose patriot ffs. Ffs Matic! Matic has not been the same since he signed new contract ffs. What did Matic do my streams down.</t>
  </si>
  <si>
    <t>[["ndidi", 1.0]]</t>
  </si>
  <si>
    <t>Ndidi calm down. That shoulda been the goal. #LEIMUN. Ndidi should have scored that. Ndidi cmon man. That should’ve been a goal! Just get it under the bar there Ndidi, make the keeper make the play, don't give it to him. That was ripe to be put on goal.</t>
  </si>
  <si>
    <t>Maguire can’t be a real footballer 😭. Well if United get champions league they won’t be getting far with Maguire CB, fraud is an understatement. See maguire. And someone genuinely believes his top 3 cb’s in the league. Maguire is gonna win us this game.</t>
  </si>
  <si>
    <t>[["touch", 0.9619209778137088], ["greenwood", 0.27332770156337666]]</t>
  </si>
  <si>
    <t>Martial must always take a first touch, never hits the ball immediately. One touch curl that Martial 🤦🏻‍♂️. #LEIMUN my heart everytime maguire touches the ball.. That touch from Greenwood 😳 #LEIMUN. Harry Maguire there, with the touch of Chris Grayling and a government contract.</t>
  </si>
  <si>
    <t>[["gea", 1.0]]</t>
  </si>
  <si>
    <t>Ok so you're telling me that Manchester United's second choice goalie is worse than David De Gea??? I'm considering subbing off de gea and Maguire. De gea needs to wake the fuck up. De Gea needs to be put down. #LEIMUN De Gea needs to stop playing with me fr.</t>
  </si>
  <si>
    <t>[["offsid", 0.8441658754660186], ["gea", 0.536082059668751]]</t>
  </si>
  <si>
    <t>De Gea ik it was offsides but that save was abysmal that could have cost us Champions League. Eeii so De Gea that ball no be offside anka what we go do...? Char the man for sit up oo. We no dey joke for here... Offside but how about that for a pass from Pogba to find Bruno 🔥🔥.</t>
  </si>
  <si>
    <t>Hope vardy's knee knocked some sense into de gea. De Gea needs the season to end more than any other player. Just look De Gea again. What is wrong with my favorite manutd player? 😩😩. De Gea needs to take a year out of something. Please is it too late to take De gea off?</t>
  </si>
  <si>
    <t>WHAT A SAVE DE GEA!!!! David De Gea. Awful keeper. De Gea is a piece of shit excuse for a goalkeeper. De Gea fucking again spilling the ball seriously how can you still defend de gea Jesus fuck. #LEIMUN. De gea doing his best to lose us UCL. De gea is one of the worst keeper😓.</t>
  </si>
  <si>
    <t>[["gea", 0.6201998615955756], ["k3k3", 0.5220089184697166], ["long", 0.4163871697713907], ["garbag", 0.4116801495878526]]</t>
  </si>
  <si>
    <t>De Gea needs a long break away from football. De gea must not like champions league 😂😂😂😂😂😂😂😂😂😂😂😂😂😂😂😂😂😐😐😐😐😐😐😂😂😂😂😂😂😂😂😂😂😂😂😂😂. De Gea and Maguire are both absolute garbage footballers. Man Utd playing with Leicester so we just draw😂. Wolves we only need you to win k3k3😂.</t>
  </si>
  <si>
    <t>Literally don't understand it. Every time Rashford gets the ball he's almost at left back. Really need a player that can actually play ball to come and bench this useless Rashford. What’s with Rashford and these get-in behind passes, just run at them man please !!!</t>
  </si>
  <si>
    <t>Maguire shirt tugging. I said earlier he’ll get a red card. Maguire forgets he is on a yellow 😂. Maguire wants us out of the champions league. He's definitely looking for a red card. Makgowa ke masepa. Maguire will see red today 🤞🏿. Maguire have a serious dribbling problem.</t>
  </si>
  <si>
    <t>Leicester us playing us half field. Get McTominay or Fred in for Matic in the 2nd half. Maguire should better give Iheanacho his slippers at half time. Greenwood's had half the pitch to himself for most of this half. Not moving the ball quick enough. #MUFC.</t>
  </si>
  <si>
    <t>[["like", 1.0]]</t>
  </si>
  <si>
    <t>This final day #LEIMUN Champions League "playoff" is like watching 2 counter attack teams with no midfield. I need Pogba to start playing like a kaffir so we can win this game. Man United doesn't look like it HAS to win. #LEIMUN. These man playing like it's Sunday league #LEIMUN.</t>
  </si>
  <si>
    <t>[["offsid", 0.7468674987117976], ["pogba", 0.6649728861900934]]</t>
  </si>
  <si>
    <t>Bruno scores off a lovely Pogba pass, but he’s offsides. Fuck sake Bruno stay on great ball from pogba tho. Lovely ball from Pogba over the top, and Bruno puts in the net, but he's a mile offside. Signs of life at least. What a ball from Pogba 👏🏻 unlucky it was offside from bruno.</t>
  </si>
  <si>
    <t>[["vardi", 0.7554652508425409], ["goal", 0.655188716912476]]</t>
  </si>
  <si>
    <t>What a goal that would have been, Leicester sitting so deep. Vardy might not get golden boot unless he scores now. Aubameyang one more goal and he will be equal to Vardy's 23 goals. Auba needs one more goal to be on par with vardy? cmon lad.</t>
  </si>
  <si>
    <t>[["auba", 0.7210281711013349], ["aubameyang", 0.6929057486254997]]</t>
  </si>
  <si>
    <t>When Auba scores one more goal and then Vardy does. Aubameyang a goal behind Vardy in terms of the golden boot. The way Watford are defending him winning it is a realistic possibility. Aubameyang go do then Vardy just go start dey score is this la? United Nyame🙏🏻.</t>
  </si>
  <si>
    <t>[["aubameyang", 0.8718950447162448], ["goal", 0.4896927924722372]]</t>
  </si>
  <si>
    <t>Aubameyang gets his second and arsenal 3rd leaving him one goal behind vardy #ARSWAT. Aubameyang needs just 1 goal to level up with Vardy..... Crazy day in the epl mhen. Don't let Vardy find out Aubameyang needs one more goal to match him for the Golden boot.</t>
  </si>
  <si>
    <t>That would have been a goal if it was Greenwood. Damn rashford. Rashford letting down Pogba there. A beautiful assist wasted hm. Thought that was a certain goal for rashford then. Rashford come on man you have to score that 🤦🏾‍♂️.</t>
  </si>
  <si>
    <t>Rashford man you need to take that. Naa rashford’s taking the piss today. #rashford Best player ever 👏 😏😏😏. No time to carry players and Rashford has been terrible so far. Rashford isnt the player united fans think he is. Rashford is the MOST overrated player in EPL.</t>
  </si>
  <si>
    <t>Beautiful ball from pogba but as usual rashford 😡😡😡. What a beautiful pass from pogba and a good touch from rashy🔥. That’s an out of this world pass by Pogba. What a ball from Pogba he’s moving different the last 15-20. Pogba is the best passer of the ball on this man u team.</t>
  </si>
  <si>
    <t>[["rashford", 0.7896151286102958], ["footbal", 0.61360243535187]]</t>
  </si>
  <si>
    <t>It’s like this doctorate is making Rashford a useless footballer oh! #LEIMUN. Rashford should be helping kids, at what he is good than playing football #mufc. You look at Bruno and wonder if it's the same football that troubles Rashford.</t>
  </si>
  <si>
    <t>[["rashi", 0.6439579416345302], ["afraid", 0.5763545606737659], ["stat", 0.30339242546969486], ["aint", 0.29022745390285726], ["return", 0.2772267140176968]]</t>
  </si>
  <si>
    <t>Rashy ain’t really been at it since football returned tbh! Don’t need stats for this one I’m afraid! #LEIMUN.</t>
  </si>
  <si>
    <t>Rashford’s effort saved. What a save from Schmeichel. Greenwood will save the day. What a save! Leicester 💙. #LEIMUN EPLFinal Day. What a save ! (Leicester) Lol how did the keeper save that shot from Rashford. Great save to stop Rashford! Good save that from kasper #LEIMUN.</t>
  </si>
  <si>
    <t>[["chevrolet", 0.8324255242674479], ["goalless", 0.3934736256560161], ["end", 0.39018745810337596]]</t>
  </si>
  <si>
    <t>Need to push from the wings and create but we end up giving Pogba and Fernandes space in midfield.. United applied some pressure towards the end of the half, but the first 45 ends goalless. #MUFC #LEIMUN Chevrolet.</t>
  </si>
  <si>
    <t>[["knee", 1.0]]</t>
  </si>
  <si>
    <t>Vardy u crackhead im on my KNEES. On my knees Leicester now. Leicester I’m on my knees. Nah Leicester need to do the job on my KNEES. Leicester... I. Am. On. My. Knees. PLEASE.</t>
  </si>
  <si>
    <t>['EXCLUDED-man', 'utd']</t>
  </si>
  <si>
    <t>[["reaction", 0.7327986087504023], ["see", 0.5007760615464376], ["want", 0.4606837691904432]]</t>
  </si>
  <si>
    <t>I see Leicester winning Man Utd... #LEIMUN. Want Leicester to win now, they deserve it more than Utd. Leicester Vs Man Utd is totally end to to see! Come on Leicester!!! Need Leicester City to score, just want to see the Man Utd fans reaction!!! #LEIMUN.</t>
  </si>
  <si>
    <t>[["reaction", 1.0]]</t>
  </si>
  <si>
    <t>Come on Leicester!!! Need Leicester City to score, just want to see the Man Utd fans reaction!!! #LEIMUN.</t>
  </si>
  <si>
    <t>[["point", 1.0]]</t>
  </si>
  <si>
    <t>Battle for the top four as it stands: 3️⃣ Chelsea - 66 points. 4️⃣ Man Utd - 64 points. --------- 5️⃣ Leicester - 63 points.</t>
  </si>
  <si>
    <t>[["matic", 0.650822926670108], ["pass", 0.5929006695369371], ["martial", 0.4742344506498941]]</t>
  </si>
  <si>
    <t>Am i blind or did matic make a forward pass. Ahh Martial with a clever run and great pass by Matic. What a pass from Matic, Martial should have shot with his left. What a pass that is from Matic into Martial. Martial goes down under pressure but never a penalty there.</t>
  </si>
  <si>
    <t>[["martial", 1.0]]</t>
  </si>
  <si>
    <t>That's a clear penalty for Martial #LEIMUN. This martial go dey dive. Why is Martial looking for a Penalty nah? Thats a diving from martial. What a pass that is from Matic into Martial. Martial goes down under pressure but never a penalty there. How’s that not a pen on martial.</t>
  </si>
  <si>
    <t>All we need is Leicester City win for the victory of football. Do your thing, vardy. Rashford you don't want CL football. Scenes if Leicester get CL football. Greenwood and Williams are the only man Utd players playing great football, the rest.....</t>
  </si>
  <si>
    <t>[["onth", 1.0]]</t>
  </si>
  <si>
    <t>The theme song for celebrating Manchester United's draw (WIN) today is Jollof Onthe Jet 🎵🔴🛩⚽️.</t>
  </si>
  <si>
    <t>[["forward", 1.0]]</t>
  </si>
  <si>
    <t>At this point I’m taking Bruno off and pushing Pogba forward. Take off Bruno and Matic. Bring on Fred McTominay and push Pogba forward.</t>
  </si>
  <si>
    <t>[["fight", 0.8752444270528918], ["keep", 0.4836808792094794]]</t>
  </si>
  <si>
    <t>Keep. Fighting. Reds. 😤. #MUFC #LEIMUN.</t>
  </si>
  <si>
    <t>Ole should sub Rashford biko! Rashford should be subbed off rn. Sub off Rashford for Christ sake. Ridiculous sub from Rodgers. Fuck Ayoze Perez being subbed 😭😭😭. Iheanacho shouldn't have been subbed. Sub Ndidi too🙂 #LEIMUN. A strange sub if your hunting’s goal #LEIMUN.</t>
  </si>
  <si>
    <t>[["hit", 0.6102540912633296], ["bar", 0.6048240980273609], ["vardi", 0.5116422134087032]]</t>
  </si>
  <si>
    <t>Vardy hits the bar. This game is heating up. Vardy hits the bar. So close😡😡😡😡. Oooooh Vardy hits the wood work. Vardy hit the bar 😭 fuck off man. Vardy has hit bar 😂. This team go kill me walahi. James Vardy hits the crossbar 😳🤬. Come on Leicester. Hit the post so close.</t>
  </si>
  <si>
    <t>That’s it Dave just let the ball bobble out 🤦🏽‍♂️ Leicester corner #LEIMUN #United. De Gea let that go out for a corner?😂😂. Fcuking DeGea really let that roll out for a corner! #MUFC #LEIMUN. Brandon Williams is tracking Wes Morgan on corners. Okay then. #LEIMUN.</t>
  </si>
  <si>
    <t>[["yellow", 0.8465847469707322], ["card", 0.5322539489722]]</t>
  </si>
  <si>
    <t>Lindelof and Maguire on yellow cards. Last 30 to go. Nervy. #MUFC. United has no game plan. 2 cb on yellows. The pressure is too much. #LEIMUN. Both CBs on yellow cards against Jamie Vardy 👏👏. The two center halves now on yellow card. These guys are something else. #LEIMUN.</t>
  </si>
  <si>
    <t>Leicester deserve cl football we dont. I hope we can all agree that Pogba is a VERY average footballer! What kinda useless football is this? Ole should do some changes #LEIMUN. Adama Traore chose the wrong football 😂. #CHEWOL #LEIMUN.</t>
  </si>
  <si>
    <t>The fuck was that pass from pogba #mufc. Pogba please take care of the ball!!! #MUFC #LEIMUN. Rashford has ACRES to make a run inside for that Pogba ball but he's standing on the wing waiting for it. Pogba lose the ball too easily still enuh. Pogba's head has started to touch.</t>
  </si>
  <si>
    <t>[["penalti", 1.0]]</t>
  </si>
  <si>
    <t>Utd penalty Martial foiled Evans yellow. Penalty to Utd!🙌 #LEIMUN. VAR officials have just confirmed that Man Utd will get a penalty each in both halves of the game against Leicester City today. Of course, as soon as I cheer on for Leicester.. penalty is given to Man Utd.</t>
  </si>
  <si>
    <t>Martial brought down in the area by Evans. Penalty for #MUFC. Penalty!! Thought martial would have got through there. It's not Manchester United if there is no penalty. I just hope that Leicester score before Man Utd get a penalty.</t>
  </si>
  <si>
    <t>[["jonni", 0.8385633507369046], ["evan", 0.5448040994714478]]</t>
  </si>
  <si>
    <t>Utd penalty Martial foiled Evans yellow. Jonny Evans you're still a red!!!!!! Cmon!!! Jonny Evans you know you can't tackle in the box vs United. You should know better. That’s a great tackle by Jonny Evans. No chance VAR overturns it for those rats. 🎶 Jonny Evans is a Red 🎶.</t>
  </si>
  <si>
    <t>[["record", 0.5127929973617903], ["penalti", 0.5110317188862582], ["set", 0.5019698771652186], ["new", 0.352499462711945], ["pen", 0.3156901888804793]]</t>
  </si>
  <si>
    <t>We got Penalty in the final match too... 😂😂😂 #LEIMUN. Manchester United set a new record for the most penalties (14) in a Premier League season. #LEIMUN. United have a penalty. Europa league waiting for Leicester !. If no be penalty una no go win ball. #LEIMUN TUEEHH.</t>
  </si>
  <si>
    <t>[["bruno", 0.6718430973076888], ["gooal", 0.5305288049896344], ["big", 0.5168810691796345]]</t>
  </si>
  <si>
    <t>Brunoooo. And he scores. Leicester 0-1 United.. #LEIMUN. GOOAAAAALLLLLL!!! Bruno Fernandes puts us ahead with a big, big goal from the spot! #MUFC #LEIMUN. 68 mins. Martial wins a penalty conceded by Evans and Morgan. VAR big decision. Bruno Fernandes 1-0. #LEIMUN.</t>
  </si>
  <si>
    <t>[["pen", 0.7974908130440717], ["gol", 0.603331089129597]]</t>
  </si>
  <si>
    <t>Real Madrid 🤝 Manchester United. Getting free pens. Bruno Fernandes with another pen we can't beat this guy ffs. Gol do Manchester United 🤦🏾‍♂️. GOAL! Leicester City 0-1 Manchester United (Fernandes pen 64). Watch #LEIMUN live on Sky Sports Main Event or follow it here 👇.</t>
  </si>
  <si>
    <t>[["might", 0.7215478113926118], ["fernand", 0.4984745144158949], ["fire", 0.3750575916136553], ["bruno", 0.3003726307860526]]</t>
  </si>
  <si>
    <t>Martial FC winning a penalty for Fernandes FC. Bruno Fernandes the biggest stat padder in the league. Has Bruno Fernandes just fired Manchester United into the Champions League? #LEIMUN. Bruno has been terrible this game but has got us CL football so 🤪. #LEIMUN.</t>
  </si>
  <si>
    <t>[["never", 0.3943598544607684], ["perform", 0.3802716913455235], ["bruno", 0.37032572572299705], ["still", 0.3631775109855929], ["seen", 0.34924282534845186], ["end", 0.34604007285677973], ["aw", 0.27355072219248305], ["manag", 0.20261397429778766], ["mani", 0.20170709171160764], ["player", 0.18042240496489995]]</t>
  </si>
  <si>
    <t>I see why rivals are always mad. Bruno played nothing in this game and got rewarded. Martial should be taking that. I've never seen a player have so many awful performances and still manages to get a goal from a penalty in the end like Bruno Fernandes 😭.</t>
  </si>
  <si>
    <t>[["fpl", 0.5716515708871045], ["min", 0.5300337204250719], ["assist", 0.5165543823039738], ["fernand", 0.35418964812261594]]</t>
  </si>
  <si>
    <t>Pen confirmed, Fernandes scores. Man Utd lead at Leicester 1-0. Bruno Fernandes going to send Man Utd to the Champions League?? 1-0 Man Utd. Man utd penalty? fernandes takes it? never seen it befors. Goal - FERNANDES. Assist - MARTIAL. Leicester 0-1 Man Utd (71 mins) #FPL #LEIMUN.</t>
  </si>
  <si>
    <t>That was Manchester United’s 20th penalty of the season and their 14th in the Premier League - a new record lol fuck this club honestly #PL. That was Manchester United's 1⃣4⃣th penalty of the season, a new Premier League record...👀.</t>
  </si>
  <si>
    <t>Manchester United were just awarded their 14th penalty of the season. #Arsenal got their 3rd today. 20 penalties in all competitions. Record 14th in the EPL. Penchester United. #LEIMUN. That was Manchester United's 1⃣4⃣th penalty of the season, a new Premier League record...👀.</t>
  </si>
  <si>
    <t>Leicester were 14 points ahead of Man Utd at one point, huge bottlers this season 👎🏻. Rodgers blowing a 15 point lead to Utd is ridiculous. Battle for the top four as it stands: 3️⃣ Man Utd - 66 points. 4️⃣ Chelsea - 66 points. --------- 5️⃣ Leicester - 62 points.</t>
  </si>
  <si>
    <t>De gea of the best of bests. De Gea my keeper🤩🤩🤩🤩🤩. Jir nice save de gea. 75’ De Gea what a save! #LEIMUN. De Gea my best pal. Can De Gea act like he's a goalkeeper now?? 😭😭. We've made a triple-substitution 🔄. Barnes almost made an immediate impact, but De Gea saves. Lei Mun.</t>
  </si>
  <si>
    <t>[["spot", 1.0]]</t>
  </si>
  <si>
    <t>Bruno Fernandes be like.."I Know a spot" then he takes you to the penalty spot 🤡. #LEIMUN.</t>
  </si>
  <si>
    <t>[["lingard", 0.8449584405542332], ["histori", 0.5348319677582467]]</t>
  </si>
  <si>
    <t>Lingard coming on for his final game in the league for utd. Manchester United have won 14 penalties in the Premier League this season. The most by any club in history.. Lingard on for the best teenager in world football?? What could go wrong.</t>
  </si>
  <si>
    <t>[["lingard", 1.0]]</t>
  </si>
  <si>
    <t>Lol that guy that bet against Lingard having a goal contribution this season is tense right now. Lingard to score and confirm 3rd place for us pls 🥺🥺. Bloody hell, we need goals, this cunt brings on Lingard. If lingard score a goal today, i will never roast him ever again.</t>
  </si>
  <si>
    <t>Lingard ffs. 😂😂. Lingard coming on. FFS. I think Olé doesn’t want us to qualify with ease. #LEIMUN #MUFC. Ffs was just saying we need to make subs, but having Lingard come in wasn't what I had in mind. Need Ighalo and James. Why am I seeing Jesse Lingard on my screen ffs.</t>
  </si>
  <si>
    <t>I agree with the lingard sub, lingard runs about a lot and covers space. Would you bring Lingard on based on the first half? Ok Lingard 1 goal or assist is all I need from you for the whole season. Man put on lingard we really need some good players.</t>
  </si>
  <si>
    <t>[["award", 1.0]]</t>
  </si>
  <si>
    <t>Man Utd have now been awarded a 14 penalties in a Premier League season and also Bruno Fernandes scoring all 4 of his Premier League. 😳🙄. 20 penalties awarded to Manchester United in the 2019/20 football season....</t>
  </si>
  <si>
    <t>[["anyon", 0.801624644274649], ["love", 0.5978276755818038]]</t>
  </si>
  <si>
    <t>Bruno Fernandes scores to put United where they want to be. Couldn’t have been anyone else. What a signing.. Does anyone love scoring penalties more than Bruno Fernandes?. Love a Leicester goal here to finish third.</t>
  </si>
  <si>
    <t>[["anyon", 1.0]]</t>
  </si>
  <si>
    <t>Does anyone love scoring penalties more than Bruno Fernandes?.</t>
  </si>
  <si>
    <t>MOTM for me so far has to be Pogba. Played very well eith the occasional misplaced pass. Pogba lose the ball in midfield fi fun!!!! Pogba trying to sabotage. C'mon lad. One touch football jo. Olè needs to caution pogba, he losses way too many balls, dangerously dho.</t>
  </si>
  <si>
    <t>[["yellow", 0.8676960308787655], ["maguir", 0.49709515990123737]]</t>
  </si>
  <si>
    <t>If that’s a foul it’s another yellow for Maguire. Three slowest United players Maguire, Lingard and Matic on a yellow now. How has Maguire escaped a 2nd yellow there?? One of those yellow card unless it's a second yellow tackles by Maguire...</t>
  </si>
  <si>
    <t>[["yellow", 0.9656116065159527], ["maguir", 0.2599888946891408]]</t>
  </si>
  <si>
    <t>Maguire need to be subbed right now! Guys panicking like a egg cracking! #MUNLEI. How has Maguire escaped a 2nd yellow there?? Maguire was supposed to get a second yellow. But its Man utd. One of those yellow card unless it's a second yellow tackles by Maguire...</t>
  </si>
  <si>
    <t>[["kick", 0.783751249109914], ["free", 0.6210748582245537]]</t>
  </si>
  <si>
    <t>Jamie Vardy should score this free kick and it is game on! The free kick conceded cause of playing out from the back. Just kick it forward!! #LEIMUN. This is like the hundredth free kick for Leicester😭😭😭. Free kick for Leicester in a very dangerous area...👀.</t>
  </si>
  <si>
    <t>Score this free kick Leicester. Pogba clumsy in possession again and nearly cost utd a goal. And now a free kick in a threatening position 😭😭😭. Maguire giving away a free kick right infront of the box, in this dying minute, is everything you need to know about him.</t>
  </si>
  <si>
    <t>What kind of a stupid foul are you conceding Maguire? Fuck! The penalty sef for be two cuz ebi two players way foul Martial😁😂😂. Atkinson is so shit, Vardy doing his usual and playing for a foul and the ref falls for it #MUFC. Maguire 🤝 foul 56 #LEIMUN.</t>
  </si>
  <si>
    <t>[["foul", 0.8612272246385806], ["ref", 0.5082200975377971]]</t>
  </si>
  <si>
    <t>Why is that a foul against Pogba? Fuck off. Ref has to be a Leicester fan. Anytime we apply pressure to a Leicester player, he gives a foul. 93 minutes played... Ref.. How far.... #Leimun. How are we constantly giving out fouls this close to the box? #LEIMUN.</t>
  </si>
  <si>
    <t>[["red", 0.7485860673060969], ["jonni", 0.47271660660482423], ["evan", 0.4649278542690377]]</t>
  </si>
  <si>
    <t>Straight red for Evans! Riley not happy with that on McTominay, and it looked nasty in real time. Expected a red for maguire but where did Evans come from 😂. That red card was a long time coming for Leicester. Kade nisiqalile. Jonny Evans is a red and he loves get a red!!</t>
  </si>
  <si>
    <t>[["tackl", 0.7487822407440962], ["evan", 0.3589717191822574], ["jonni", 0.32807516947323057], ["card", 0.2857858891726468], ["undoubtedli", 0.24678547364170028], ["aw", 0.2454679194883465]]</t>
  </si>
  <si>
    <t>Johnny Evans earns a straight red for a ridiculous foul on McTominay. Garbage tackle. Awful tackle from Jonny Evans. Given a penalty away and a red card against his former club. #mufc. Penalty and a red card, this is undoubtedly Jonny Evans' best ever performance for United.</t>
  </si>
  <si>
    <t>[["johnni", 0.7803678138934498], ["evan", 0.6253207777126538]]</t>
  </si>
  <si>
    <t>Johnny Evans is my new favourite players... Mctominay is a cunt. Johnny Evans is our guy.....a great player indeed #LEIMUN. Now Evans taking his anger on McTominay 😡. Johnny Evans red card? A true Manchester United player at heart. Big bad jonny Evans taking us back there 🤣🤣🤣.</t>
  </si>
  <si>
    <t>[["mctominay", 0.43255549146020417], ["min", 0.417189170555499], ["jonni", 0.33574003606748304], ["sent", 0.33574003606748304], ["evan", 0.33133157381800227], ["scott", 0.294045339637881], ["tackl", 0.28284719908207234], ["danger", 0.2797875218534151], ["card", 0.24265063395080286]]</t>
  </si>
  <si>
    <t>Jonny Evans doing more for Utd than Maguire. Jonny Evans Utd spy😂. Red Card Evans How Much Did Man Utd Pay Him.. We Paid Him Very Well I Think😂🤣#LEIMUN. RED CARD Jonny Evans is sent off for a dangerous tackle on Scott McTominay. Leicester 0-1 Man Utd (90+4 mins) #LEIMUN.</t>
  </si>
  <si>
    <t>[["undoubtedli", 0.8181404530791758], ["card", 0.575018433648349]]</t>
  </si>
  <si>
    <t>RED CARD! Leicester City defender Jonny Evans (90+4 mins) Penalty and a red card, this is undoubtedly Jonny Evans' best ever performance for United.</t>
  </si>
  <si>
    <t>[["legend", 1.0]]</t>
  </si>
  <si>
    <t>Top performance by Jonny Evans. Conceded a penalty and got a red. United legend. Johnny Evans gifting a penalty to United. What a legend! 😍 #LEIMUN. Penalty given away, red card. Jonny Evans, Man United legend!.</t>
  </si>
  <si>
    <t>Lingard would score on the team he’ll be playing on next year. Lingard scores ahahhahahahaha what a final day this has turned out to be. Jesse lingard with the most important goal of the season. 😭😭😭😭😭😭😭😭😭😭😭😭😭😭😭😭😭😭😭😭😭😭😭😭😭😭😭😭😭😭😭😭😭😭😭😭😭😭😭😭😭😭😭😭😭.</t>
  </si>
  <si>
    <t>Only Lingard would celebrate his first goal in the premier league which is a tap in 😂. Lingard final game of the season loooool get that guy out my club. You don’t deserve champions league if Lingard scores against you.</t>
  </si>
  <si>
    <t>[["lingard", 0.8368586448674065], ["gol", 0.54741904288277]]</t>
  </si>
  <si>
    <t>Mds o lingard fez gol. Goooooooooooooooooollllll do United. Lingard 🔥. Lord lingard gol siot. Gooooool Lingard pone el 0-2 #mufc. How has lingard scored ffs. GOAL! Leicester City 0-2 Manchester United (Lingard 90+8). Watch #LEIMUN live on Sky Sports Main Event or follow it here 👇.</t>
  </si>
  <si>
    <t>[["fifth", 0.49468407461817115], ["none", 0.44926901175457945], ["fpl", 0.4161858459208425], ["assist", 0.37743620932047434], ["third", 0.37465125379677894], ["full", 0.31211009111157023]]</t>
  </si>
  <si>
    <t>Goal - LINGARD. Assist - none. Leicester 0-2 Man Utd (90+8 mins) #FPL #LEIMUN. Lingard scores and Utd finish third not a sentence I expected back in November or even 20 minutes ago. FULL-TIME Leicester 0-2 Man Utd. Man Utd finish in third place as Leicester drop to fifth. #LEIMUN.</t>
  </si>
  <si>
    <t>[["jess", 1.0]]</t>
  </si>
  <si>
    <t>Jesses Lingard wrapping up the League. Tonight was something special 😍. Ole's tricky reds into the champions league barcelona better watch out for jesse lingard and the crew. Breaking! Jesse Lingard has scored a premier league goal 🚨.</t>
  </si>
  <si>
    <t>#LEIMUN-volume-30-burst-0.6-grouped-split</t>
  </si>
  <si>
    <r>
      <rPr>
        <color rgb="FF000000"/>
        <u/>
      </rPr>
      <t>The Guardian</t>
    </r>
    <r>
      <rPr/>
      <t xml:space="preserve">, </t>
    </r>
    <r>
      <rPr>
        <color rgb="FF000000"/>
        <u/>
      </rPr>
      <t>BeSoccer (live)</t>
    </r>
    <r>
      <rPr/>
      <t xml:space="preserve">, </t>
    </r>
    <r>
      <rPr>
        <color rgb="FF000000"/>
        <u/>
      </rPr>
      <t>BeSoccer</t>
    </r>
    <r>
      <rPr/>
      <t xml:space="preserve">, </t>
    </r>
    <r>
      <rPr>
        <color rgb="FF000000"/>
        <u/>
      </rPr>
      <t>BBC</t>
    </r>
  </si>
  <si>
    <t>Maguire</t>
  </si>
  <si>
    <t>Bruno (disallowed)</t>
  </si>
  <si>
    <t>Ayoze for Iheanacho</t>
  </si>
  <si>
    <t>Lindelöf</t>
  </si>
  <si>
    <t>Evans</t>
  </si>
  <si>
    <t>Bruno (penalty)</t>
  </si>
  <si>
    <t>Gray for Choudhury</t>
  </si>
  <si>
    <t>Barnes for Albrighton</t>
  </si>
  <si>
    <t>Praet for Tielemans</t>
  </si>
  <si>
    <t>Lingard for Greenwood</t>
  </si>
  <si>
    <t>Matic</t>
  </si>
  <si>
    <t>Mctominay for Bruno</t>
  </si>
  <si>
    <t>Hirst for Thomas</t>
  </si>
  <si>
    <t>Pogba</t>
  </si>
  <si>
    <t>Williams</t>
  </si>
  <si>
    <t>Evans (red)</t>
  </si>
  <si>
    <t>Ighalo for Rashford</t>
  </si>
  <si>
    <t>Fosu-Mensah for Martial</t>
  </si>
  <si>
    <t>Lingard</t>
  </si>
  <si>
    <t>Good save but how was that not a foul on McGinn? Great save from Marshall there #sco. What a save #SCOCZE. Great save from martial. #SCO #CZE. What a save about went into cardiac arrest there #SCO. 15' SHOOT by Valdimir Darida, SAVES by keeper and then corner kick for Czech Rep.</t>
  </si>
  <si>
    <t>[["cross", 0.5318716865522538], ["goe", 0.46740810740372296], ["accur", 0.42601774470351284], ["robertson", 0.41314389821898867], ["wide", 0.38270507017739064]]</t>
  </si>
  <si>
    <t>Robertson has mastered the art of crossing. Can’t think of many others who are so accurate. #SCO. That would have been a goal if it was a LFC player on the end of that Robertson cross. #SCO #SCOCZE. #SCOCZE sublime cross from Captain Andy Robertson reaches Dykes - just wide!</t>
  </si>
  <si>
    <t>[["tackl", 1.0]]</t>
  </si>
  <si>
    <t>O’Donnell tackling his own player like a mad man hahah #SCOCZE. Great of him to tackle his own player off the ball 😂. #SCO. #SCO so amped up they're tackling their own players. EURO 2020. O'Donnell has now tackled his own player and ruined the attack. This is ridiculous.</t>
  </si>
  <si>
    <t>Class save #CZE. It’s a good save. ‘Mon!!!!! #SCO EURO 2020. Huge chance for #SCO. Great football but what a save! EURO 2020. That was goal-bound from Robertson. Need save for #CZE. Crazy save by Czech keeper EURO 2020. Fantastic save #Sco #CZE. What a save from Vaclik!</t>
  </si>
  <si>
    <t>[["assist", 0.6738099059551241], ["schick", 0.6408302122508056], ["coufal", 0.36785438654899055]]</t>
  </si>
  <si>
    <t>Coufal again with the assist. What a signing he was for west ham 🤑. Unlucky Scotland. Good goal. Was going to back that Coufal to Schick combo. Will just scored for Czech Republic against Scotland!!! How could you?! Schick one mate.</t>
  </si>
  <si>
    <t>[["gol", 0.8007757050418093], ["schick", 0.5989643313376791]]</t>
  </si>
  <si>
    <t>Gol de Schick. Gol da tcheca schick. Gol de #CZE. Patrick Schick. Gol de Schick. Escocia 0-1 Rep Checa. Goooool de Schick #CZE. Gol de Schick Euro 2021. Schick still living of that one season at Samp. Schick gol. GOL | #SCO 0-1 #CZE, 42' Schick. Schick ffs. Gran gol de Schick.</t>
  </si>
  <si>
    <t>[["lead", 0.7824584308854815], ["schick", 0.6227028215258305]]</t>
  </si>
  <si>
    <t>GOAL - CZECH REPUBLIC LEAD!. Schick with the opening goal.. #SCO #CZE. That goal's been coming, deserved lead. Beautiful header from Schick. #CZE take the lead... Euro 2020. Schick gives the Czech’s the lead. #SCOCZE. Schick scores. Czech lead! 42’ Scotland 0-1 Czech.</t>
  </si>
  <si>
    <t>[["cross", 0.8624003725750012], ["coufal", 0.506226824044814]]</t>
  </si>
  <si>
    <t>See, it wasn't Soucek but a header from a cross. Stop them putting crosses in. Coufal with a free run and cross, horrendous defending 🥴. Coufal has been torched at the back by Robertson but that was a great cross for Schick to open the scoring #CZE 1-0.</t>
  </si>
  <si>
    <t>[["defend", 1.0]]</t>
  </si>
  <si>
    <t>😲 Scotland poor defending. #sco #SCOCZE. Rotten defending #sco #SCOCZE. Coufal with a free run and cross, horrendous defending 🥴. This is pish. Shit defending there and we've still have Armstrong and O'Donnell on the pitch. Schick dunked on that defender.</t>
  </si>
  <si>
    <t>[["schick", 1.0]]</t>
  </si>
  <si>
    <t>Goallll Czech Republic take the lead Patrick Schick has scored. Goal Schick. Another Bundesliga player.. #SCOCZE. Schick his looked a player throughout. Schick takes the lead for #SCO. EURO 2020. Lovely run by Coufal before assisting Schick. Quality player.. EURO 2020 #SCOCZE.</t>
  </si>
  <si>
    <t>[["final", 0.8911701854453842], ["scocz", 0.4536691532088551]]</t>
  </si>
  <si>
    <t>Finally one of those corner kicks paid off!!! EURO 2020. After playing Lawn Tennis with set-pieces, the Czech Republic finally score. #SCOCZE. Finally!! A goal #SCOCZE. Winning a euros game isn't for everyone... #eng #SCOCZE.</t>
  </si>
  <si>
    <t>[["penalti", 0.7071067811865475], ["pen", 0.7071067811865475]]</t>
  </si>
  <si>
    <t>Christie what a run and why no penalty for mctominay. Why did I think that's a pen for #Sco. 👀. Crikey that would be a penalty In rugby that tackle #SCOCZE. How isn’t that a penalty? Are they all blind or what? #SCO. Why is that not going straight to #VAR??? Clear penalty! #sco.</t>
  </si>
  <si>
    <t>[["nod", 0.8076205985108044], ["score", 0.43926399345308226], ["12th", 0.3934413716383939]]</t>
  </si>
  <si>
    <t>🇨🇿 Schick nods in his 12th international goal in 27 appearances for Czech Republic ⚽️. EURO 2020. Oh, the Czechs scored? #SCOCZE. Juventus legend Patrick Schick scoring against Scotland. Schick is a player who ghosts the whole game but somehow will score out of nowhere 🤷🤷.</t>
  </si>
  <si>
    <t>[["play", 0.8808261588716862], ["stephen", 0.26367382544344514], ["half", 0.23446587465753274], ["penalti", 0.22679813019244974], ["premier", 0.21956719560457327]]</t>
  </si>
  <si>
    <t>Fuck you Steve Clarke. Played quality attacking football against Netherlands just to play like a pussy today. A goal down, despite playing the better football in the first half.. we're still in this #SCO. Premier League penalty for Mctominay there.</t>
  </si>
  <si>
    <t>[["header", 0.952993861732746], ["assist", 0.30298960295645117]]</t>
  </si>
  <si>
    <t>We should not be losing a goal like that. Go and meet the header. Make it yours.. Big 2nd half ahead. #SCOCZE. is the first YouTuber to score at EURO 2020, having opened the scoring vs. Scotland. Excellent header. 🔥. Coufal with the assist! Irons! #COYI ⚒️. Coufal assist 👀.</t>
  </si>
  <si>
    <t>Disappointing to concede having played well for most of the half. #SCOCZE. Best tackle of the first half half was Stephen O’Donnells on John McGinn when he was through on goal 😑. Great goal from Schick just before half time! Can Scotland bounce back EURO 2020.</t>
  </si>
  <si>
    <t>[["var", 0.7452623204017436], ["ref", 0.6667713804516575]]</t>
  </si>
  <si>
    <t>Ref has Donkey Brains. #SCO. #SCOCZE this ref is a wee dick. Are they using VAR at this tournament? #SCOCZE. ODonnell off, Forrest on, Calmac too. Oh, could we put the VAR plug back in the socket? This ref's lost it.</t>
  </si>
  <si>
    <t>[["che", 0.7615888652131213], ["adam", 0.6480604912995315]]</t>
  </si>
  <si>
    <t>CHE ADAMS SUPER SUB. Che Adams, good sub that. Need Che on your change this game.. Dykes ain’t doing a thing up top. #SCO 0-1 #CZE. Che Adams on. ✅. Ryan Christie off. ❌. Second half begins. Hopefully Che Adams makes the difference for Scotland. Need some more help upfront.</t>
  </si>
  <si>
    <t>[["crossbar", 0.8982459578581725], ["bar", 0.43949311620485493]]</t>
  </si>
  <si>
    <t>Oh... hit the bar ! #SCOCZE. Hendry hits the crossbar! Good work from Adams. #SCO. Hits the crossbar.. Scotland National Team.. #SCOCZE. 48' | Off the bar! Jack Hendry's shot from the edge of the box hits the crossbar. A good passage of play from Scotland. [0-1]</t>
  </si>
  <si>
    <t>[["patrik", 1.0]]</t>
  </si>
  <si>
    <t>Patrik Schick puts the Czech Republic ahead with a great header past David Marshall! His 11th International goal 🇨🇿. 🇨🇿 Patrik Schick has now scored 7 goals in his last 11 games for Czech Republic 🔥. EURO 2020.</t>
  </si>
  <si>
    <t>Goal keepers win you matches,look at vaclik with that save. Saved a certain goal there! #CZESCO. I can’t believe one of the potential saves of the tournament will be one that saved an own goal #CZE. Tomas Vaclik just saved Tomas Kalas from scoring a beautiful own goal.</t>
  </si>
  <si>
    <t>[["bow", 1.0]]</t>
  </si>
  <si>
    <t>Take a freaking bow Patrik Schick. What a goal.... take a bow son #SCOCZE. Just wow! Schick take a bow! Patrick Schick, take a fucking bow. Insane goal. Schick take a fucking bow. Take a bow Patrick Schick, OMG. Best goal of the tournament! Take a bow Schick Euro 2020.</t>
  </si>
  <si>
    <t>CHE GOL SCHICK. SCHICK CO ZA GOL. Che gol di Schick!!!! Offf ne gol be EURO 2020. GOL | #SCO 0-2 #CZE, 53' Schick. QUE GOL SCHICK. GOOOLLL!! SCHICKKKK 52.' #SCO 0-2 #CZE. VERY VERY SICK! ¡Goooooooool de #CZE! Patrick'ten Schick bir gol!!! Ohhh gade on gol Schick fe.</t>
  </si>
  <si>
    <t>[["schick", 0.714118407353153], ["goal", 0.7000249283271247]]</t>
  </si>
  <si>
    <t>GOAL Patrik Schick again. Lobbed David Marshall from just inside the Scotland half. 2-0 Czech Republic. Gooooallll Schick from half line , Scotland in the mud. Jesus fuck, that second Schick goal at #SCOCZE. Patrick Schick , what goal Goosebumps , This what EURO 2020 needed.</t>
  </si>
  <si>
    <t>[["goal", 0.6197992230453124], ["patrick", 0.5550531170949048], ["keeper", 0.40687087840064645], ["schick", 0.3771220606450162]]</t>
  </si>
  <si>
    <t>What a finish!!!!!! What's the keeper doing out there 😂 #CZE #sco. Best goal of the tournament! Take a bow Schick Euro 2020. Fucking hell!!! See Schick's goal. Saw the keeper off his line. Patrick schik might have scored the best goal of EURO 2020.</t>
  </si>
  <si>
    <t>[["decis", 0.7258743041758461], ["hendri", 0.6878273726286497]]</t>
  </si>
  <si>
    <t>Poor decision from hendry, not good enough. Fuck Jack Hendry. Stupid stupid decision. Poor decision from Jack Hendry! Get jack Hendry tae fuck btw, nonsense decision to try and take that on. That’s on hendry !! … bad decision making. Moronic decision to shoot from Hendry.</t>
  </si>
  <si>
    <t>OH BLOODY FOOTBALL GODS WHAT A GOAL BY SCHICK. The Schick they use to hype is finally showing up on the big stage. That tenner I had on Schick to win the… nah I’m kidding. International football is Schick anyway. Patrik Schick is my new favourite footballer #SCOCZE.</t>
  </si>
  <si>
    <t>Patrik Schick is the best player in the world tbh. Patrik Schick just pissed me off with his class. OUT OF THIS WORLD FROM PATRIK SCHICK 🤯.</t>
  </si>
  <si>
    <t>[["win", 0.7086974266760578], ["sorri", 0.7055125494438307]]</t>
  </si>
  <si>
    <t>Teamspirt💪🏻🔥 What a win en great atmosphere 🦁 EURO 2020. I feel sorry for people that don't like football EURO 2020. I actually predicted #SCO to win this game 1-0 lmaooo. I'm sorry Scotland, you'll never win with an ex Norwich goalkeeper #SCOCZE #Euros.</t>
  </si>
  <si>
    <t>[["refere", 1.0]]</t>
  </si>
  <si>
    <t>Irrelevant to everything but i do enjoy referees in pink #SCOCZE. Why is Ander Herrera refereeing this match? #SCOCZE. This referee is an absolute clown. #SCOCZE. Getting absolutely nothing at all out of this referee #sco.</t>
  </si>
  <si>
    <t>[["net", 1.0]]</t>
  </si>
  <si>
    <t>Definitely a fan of the goalie just launching himself into the back of the net. #SCOCZE. The net looks broken from the aftermath of the goal #SCOCZE EURO 2020. The way the keeper went flying into the net is killing me, Schick did him dirty man💀.</t>
  </si>
  <si>
    <t>Scotland missed 3 chances could have scored 3 if the goalkeeper of #CZE wouldn't have stopped it saves in first half. TOP SAVE BY VACLIK 🇨🇿. McLaughlin wd have saved that 🤣. You don’t save those! 🤣. #SCOCZE EURO 2020..</t>
  </si>
  <si>
    <t>[["deflect", 1.0]]</t>
  </si>
  <si>
    <t>Thought that was deflecting in then😭 #SCOCZE EURO 2020. Scotland very unlucky yet again. Stuart Armstrong goes close but it deflects over the bar. (61) - Armstrong's shot is deflected over the bar. #SCOCZE. Armstrong’s shot takes a deflection ends up on top of the netting! #SCO.</t>
  </si>
  <si>
    <t>[["goalkeep", 0.7717180133904334], ["sweeper", 0.4674681428006629], ["marshal", 0.43119003151188673]]</t>
  </si>
  <si>
    <t>Smdh why is Marshall that far off his line 🤦 Smart by Schick but sh*t from the Scotland goalkeeper 😅 EURO 2020 #SCOCZE. Steve Clarke just changed David Marshall from Sweeper keeper (attack) to Goalkeeper (defend). Marshall, you are a keeper not a sweeper! #Scotland #SCOCZE.</t>
  </si>
  <si>
    <t>[["dyke", 1.0]]</t>
  </si>
  <si>
    <t>Lyndon Dykes might be the worst footballer I've ever seen. Is this Dykes boy a footballer? Lyndon Dykes awful footballer. Jesus Lyndon Dykes is a terrible footballer EURO 2020. How's dykes a football player ? This Lyndon Dykes guy has to go back to league one.</t>
  </si>
  <si>
    <t>Take off dykes. This Lyndon Dykes player is terrible. Why didn’t Dykes just put his foot through it?? Shite player. Dykes might actually be the worst player to ever grace the Euros. TAKE DYKES OFF 🤬🤬🤬🤬. Send Dykes home. Awful awful player. Dykes is a useless player wtf #SCO.</t>
  </si>
  <si>
    <t>[["score", 0.9019104738701643], ["dyke", 0.43192302221957973]]</t>
  </si>
  <si>
    <t>That’s so poor from Dykes, you have got to be scoring that. This guy Dykes has missed too many chances … he has to score that. Dykes has to score then. He has not been on it today. Put your foot through it. Dykes should have scored that!... But what a save it was.</t>
  </si>
  <si>
    <t>[["striker", 0.6353366701455021], ["schick", 0.5716008240328082], ["vaclik", 0.5192492787991525]]</t>
  </si>
  <si>
    <t>I know fuck all about football, but that was a goal and a half 😲👏🏻 Schick really did T H A T. Vaclik will finally get the plaudits he deserves at the end of this tournament. If Scotland had even a single good striker they'd be winning this game. #SCOCZE.</t>
  </si>
  <si>
    <t>[["play", 1.0]]</t>
  </si>
  <si>
    <t>Ryan Fraser coming on now after refusing to play the opening hour as he wanted to stay fit for the final half hour. Scotland would be winning if McKenna was playing. Dykes should not b playing football. If billy gilmour plays Scotland win this game simple #SCOCZE.</t>
  </si>
  <si>
    <t>[["keep", 0.6080868903656508], ["best", 0.5958907512961357], ["david", 0.5245422254548816]]</t>
  </si>
  <si>
    <t>If only #SCO called up it's best player.... Probably the best goal of the tournament EURO 2020. The wait is nearly over... ⌛. Best of luck to Robert Lewandowski in his opening match of EURO 2020 today! 🔴⚪. David Marshall did his best to keep it out 🧤.</t>
  </si>
  <si>
    <t>[["second", 0.9405299599275346], ["half", 0.3397107511968236]]</t>
  </si>
  <si>
    <t>I didnt know half these guys were Scottish. Armstrong and Liam Cooper specifically. Schick finish! Wonderful second goal for #CZE just when #SCO were getting into it. David Marshall… 100% to blame for second goal! Scotland National Team 😡.</t>
  </si>
  <si>
    <t>[["terrorist", 1.0]]</t>
  </si>
  <si>
    <t>2-0 down and we bring on Callum mcgregor 🤮🤮Clarke’s actually a football terrorists. 2-0 down and we bring on mcgregor Steve Clarke football terrorist.</t>
  </si>
  <si>
    <t>[["net", 0.6509922890406379], ["patrick", 0.5807127888669579], ["goalkeep", 0.4888575420876624]]</t>
  </si>
  <si>
    <t>Imagine playing Shatta Wale's enter the net song in the background of Patrick Schick'a keeper enter the net simple koraaa😂😂. I feel for the goalkeeper 🤣🤣😩. Patrick Schick filthy goal!!! #SCOCZE. Czech republic's Goalkeeper today - #SCOCZE EURO 2020.</t>
  </si>
  <si>
    <t>[["sub", 0.7148944713931594], ["2nd", 0.6992323610728377]]</t>
  </si>
  <si>
    <t>Steve Clarke got todays line up and subs all wrong. All FM players watching Hlozek being subbed in at the euros. Vydra good sub to bring on here. Get in behind. He's made 3 subs. Gilmour isn't on. Patterson isn't in. O'Donnell is still on. Mcginn and mctominay 2nd half.</t>
  </si>
  <si>
    <t>[["brought", 0.7482556968592678], ["forrest", 0.663410440163291]]</t>
  </si>
  <si>
    <t>James Forrest🤣🤣🤣 clarke needs to stay off the sauce. He's just subbed o'donnell for forrest I've got no words. Dykes and Forrest should have been on half an hour ago ffs. 5 subs, Gilmour and Patterson not even brought on. Pathetic.</t>
  </si>
  <si>
    <t>[["dyke", 0.7155822669978562], ["final", 0.3866853134303729], ["odonnel", 0.3557974573250254], ["forrest", 0.3293452899690175], ["champion", 0.32149080371253824]]</t>
  </si>
  <si>
    <t>Oh look ODonnell finally off for Forrest. And Nisbet on for Dykes. Dykes off, football wins.. FINALLY TAKES O’DONNELL OFF AND PUTS ON FORREST WHEN PATTERSON IS SITTING THERE 😂😂😂😂😂😂😂😂😂😂. DYKES OFF FINALLY. Champions League Winner still on bench. Hilarious. #Sco.</t>
  </si>
  <si>
    <t>[["forrest", 1.0]]</t>
  </si>
  <si>
    <t>Craig | ☀️🌵 Suns in FOAH Will Forrest take his shirt off if he scores? FINALLY TAKES O’DONNELL OFF AND PUTS ON FORREST WHEN PATTERSON IS SITTING THERE 😂😂😂😂😂😂😂😂😂😂. And Forrest is on now. Clarke yet again picking players based on current form…. James Forrest. Good player.</t>
  </si>
  <si>
    <t>[["crimin", 0.7426902681040275], ["like", 0.6696350988886169]]</t>
  </si>
  <si>
    <t>Watch Steve Clarke come out with some bullshit likes theres been positives to take in his interview after the game 🤦🏻‍♂️🤦🏻‍♂️. Team like Scotland having a player like Billy Gilmour and not using him is absolutely criminal....</t>
  </si>
  <si>
    <t>[["marshal", 1.0]]</t>
  </si>
  <si>
    <t>Good save Marshall vydra close to a 3rd. Great save, Marshall. 👏. #SCOCZE EURO 2020. David Marshall showing again there that it’s much easier to save shots when not 40 yards off your line. Some cracking goalkeeping from Vaclik and Marshall today 🧤.</t>
  </si>
  <si>
    <t>Imagine being a ref at the Euros and being this fucking shite at your job #SCO. The ref's given Scotland nothing today #SCOCZE. This ref is shiiiiiit #SCO #CZE. On a scale of 10-10 how much does this ref need the Czechs to win? EURO 2020 #Scotland.</t>
  </si>
  <si>
    <t>[["schick", 0.7086061427007416], ["blame", 0.7056042336372255]]</t>
  </si>
  <si>
    <t>Schick 2nd goal was sick! #SCOCZE. Harsh to blame Hendry for the second goal because he took a shot. Should be blaming Marshall for being so far up the pitch #SCOCZE. That second schick is pretty decent. Schick. Vaclík. No more words needed. EURO 2020.</t>
  </si>
  <si>
    <t>[["goal", 0.5890069230923752], ["sensat", 0.37953160179224416], ["blame", 0.3387884213947702], ["patrick", 0.32970698049882596], ["patrik", 0.32406526255925716], ["simpl", 0.3169697001576696], ["secur", 0.2829385712726514]]</t>
  </si>
  <si>
    <t>Blaming Jack Hendry for taking a shot, not having it. That's football. That patrick schick goal will win goal of the tournament. Patrik Schick's wonder goal secures an opening game win for Czech Republic. Simple sensational. EURO 2020.</t>
  </si>
  <si>
    <t>[["schick", 0.80162825638572], ["armchair", 0.45836358407516736], ["least", 0.3837902595920815]]</t>
  </si>
  <si>
    <t>Schick is a great player. PATRIK SCHICK TAKE A BOW. Never heard or seen Partrick Schick but ayeee what a player!! At least England Croatia are there for the taking! #SCO. If only the Twitter armchair football players were on the field. They would have had it sorted. 🙄 #SCO.</t>
  </si>
  <si>
    <t>[["clark", 0.7199713027520903], ["2nd", 0.6940038351576003]]</t>
  </si>
  <si>
    <t>Nice victory for my 2nd team #CZE. Clarke needs to quit picking his pals and pick players who will make a difference otherwise we’re fucking wasting our time here #SCO. Can we sub Steve Clarke for the rest of the euros ? Mcginn and mctominay 2nd half.</t>
  </si>
  <si>
    <t>[["final", 1.0]]</t>
  </si>
  <si>
    <t>Final whistle drowned out by the sound of school kid’s hearts breaking across the country... #SCO EURO 2020. Final #SCO 0 #CZE 2. Scotland fans boo their team at the final whistle. Disgraceful. #SCOCZE. 🇲🇰 North Macedonia's first final tournament 🔜. EURO 2020. #SCOCZE final.</t>
  </si>
  <si>
    <t>[["cost", 1.0]]</t>
  </si>
  <si>
    <t>We had better chances and were the better team. Hendry taking a shot from 40 yards and Dykes not finishing cost us. So disappointing, not taking our chances has cost us big time 😢. #SCO EURO 2020.</t>
  </si>
  <si>
    <t>We should have played the game at Gayfield, Gets in win #sco. Why does Billy Gilmour not play for Scotland, he just be better than some of these that play in the Scottish league. #YESSIRICANBOOGIE. But Scotland can't play football. 🤣🤣🤣🤣🤣. #SCOCZE.</t>
  </si>
  <si>
    <t>#SCOCZE-volume-15-burst-0.7-grouped-split</t>
  </si>
  <si>
    <t>Schick</t>
  </si>
  <si>
    <t>Che Adams for Christie</t>
  </si>
  <si>
    <t>Holeš for Kral</t>
  </si>
  <si>
    <t>Fraser for Amstrong</t>
  </si>
  <si>
    <t>McGregor for Hendry</t>
  </si>
  <si>
    <t>Hložek for Jankto</t>
  </si>
  <si>
    <t>Vydra for Masopust</t>
  </si>
  <si>
    <t>Forrest for O'Donnell</t>
  </si>
  <si>
    <t>Nisbet for Dykes</t>
  </si>
  <si>
    <t>Ševčik for Schick</t>
  </si>
  <si>
    <t>Krmencik for Darida</t>
  </si>
  <si>
    <t>[["happen", 0.5701922540972791], ["matchday", 0.48423721293236854], ["kick", 0.47207373301313443], ["budapest", 0.4664134491821601]]</t>
  </si>
  <si>
    <t>EURO 2020 Kick-off in Budapest! Hungary Vs France ⚽. What are your predictions? ⚽️ KICK-OFF! 🇭🇺🆚🇫🇷. ℹ️ Group F, matchday 2. 🤔 What will happen in Budapest? EURO 2020. Kick-off ⚽️ Here. We go. Allez Les Bleus!!! #HUNFRA Fiersdetre Bleus.</t>
  </si>
  <si>
    <t>[["yellow", 0.8135778477126216], ["pavard", 0.5814560049662384]]</t>
  </si>
  <si>
    <t>PAVARD YELLOW ! 🤦‍♂️. EURO 2020 #HUNFRA reference should give 2 yellow cards - Varane and Pavard! Pavard’s looking to get a red card. Mello Yellow Pavard. Pavard is gonna get cooked after that yellow on that flank. 📸 - Pavard on a yellow card already, within 10 minutes..</t>
  </si>
  <si>
    <t>[["offsid", 0.9323606091053456], ["griezmann", 0.36152965934859194]]</t>
  </si>
  <si>
    <t>Griezmann eh score that wtf lmao even if it offside. I know he's offside but that's so poor from Griezmann. Offside but Griezmann has to find the back of the net there. Griezmann lucky he was offsides bc that was a terrible miss.</t>
  </si>
  <si>
    <t>Fantastic save from the GK. #HUN. Good save but Griezmann should be scoring there. Almost benzema good save by the keeper. Great save by Gulasci after his own error. Offside though.. EURO 2020. Whatta double save! EURO 2020 #HUNFRA. Gulacsi mate. What a save. #HUNFRA.</t>
  </si>
  <si>
    <t>[["kant", 1.0]]</t>
  </si>
  <si>
    <t>What a player Kante is. KANTE, What a Player. DRIVER. Kanté best player in the world?? Arguably. Don’t @ me. I fucking love watching the little wizard. #FRA. Kante’s ability to glide past players with such speed is incredible. Kante is an infinitely greater player than Pogba.</t>
  </si>
  <si>
    <t>[["dign", 0.8343449895708207], ["kant", 0.38978740255302446], ["cross", 0.38978740255302446]]</t>
  </si>
  <si>
    <t>Kante what a run! Hand him the ball on d'or asap! Kante all alone passed 3/4 of the players im yelling. Digne's crosses are so good. Mbappe should have done better with that. Kylian kylian kylian that was so close that pass from digne 🔥.</t>
  </si>
  <si>
    <t>[["world", 0.8340553084619575], ["kant", 0.5516808338400281]]</t>
  </si>
  <si>
    <t>Kante and Pogba is the best pivot in world football. Kante is the second best player in the world ((after Neymar)) Ngolo Kante, best player in the World 💙. Kante is the best player in the world at the moment. No cap. Kante is the best midfielder in the world btw.</t>
  </si>
  <si>
    <t>[["mbapp", 0.9229404279929313], ["score", 0.38494280922784463]]</t>
  </si>
  <si>
    <t>Mbappe that is a goal na wtf. 🇫🇷 Vs 🇭🇺 starts in about 40 minutes from now!. ⚽️do you think the goal scorers will be?. 🏆Who wins the match, vote below! #FRAHUN #mbappe. Mbappe just wasted a Digne assist. Mbappe should have scored there. Ufff, I thought Mbappe had scored that.</t>
  </si>
  <si>
    <t>[["mbapp", 1.0]]</t>
  </si>
  <si>
    <t>Mbappe with another free header wa o. Mbappe ffsss. Digne and Mbappe link up. 8 yards out free header 200 mill mbappe get fucked. Quase gol do mbappe. We’ve only made one 100m+ signing in 7 years ffs. Wake up Real Madrid C.F. sancho haaland and mbappe are all available.</t>
  </si>
  <si>
    <t>[["freekick", 0.843150130116547], ["mbapp", 0.5376782105353066]]</t>
  </si>
  <si>
    <t>Why did Mbappe take that freekick ??? Ffs why does mbappe take it? Digne is goated with free kicks. Arguably the best free kick taker in that French squad. Mbappe tryna take freekicks loool😭. Can these Hungary players stop getting shot in the head I wanna watch Mbappe.</t>
  </si>
  <si>
    <t>[["mbapp", 0.9013810215741429], ["free", 0.4330268512990324]]</t>
  </si>
  <si>
    <t>Why is mbappe taking free kicks? 😭. This Mbappe ego 🤢🤢. Now he wants to play the Free-kick. That must’ve hurt bro getting a shot from mbappe to the face😭😭😭. Oh le head shot de mbappe la. Mbappe lining up for a free kick una 😂. Seriously Has mbappe ever scored a free kick goal?</t>
  </si>
  <si>
    <t>[["kick", 0.7448210461769347], ["free", 0.6672642723628297]]</t>
  </si>
  <si>
    <t>Surely Digne takes the free kick ? Why is mbappe taking free kicks? 😭. Should’ve put Digne on the free kick. Ffs why does mbappe take it? Digne is goated with free kicks. Arguably the best free kick taker in that French squad. Why’s Benzema not on free kicks.</t>
  </si>
  <si>
    <t>[["giroud", 1.0]]</t>
  </si>
  <si>
    <t>Giroud is scoring that just saying 🙃. Get this benzema out of my sight. Giroud scores there! That would have been an easy goal for Giroud. Nahh, if Giroud plays, France will be leading by 2 or 3 goals ady 😂. #HUNFRA. Giroud will score this goal falaaaaa.</t>
  </si>
  <si>
    <t>Get Giroud back ffs. NOOO BENZEMA THAT PASS FFSSS. See Benzema too ffs. How’s Benzema missed that ffs. Remove this dead striker and put Giroud ffs. Benzema just robbed Mbappe of a filthy assist ffs. Bring Giroud in, these guys are incapable of finishing ffs. Ffs bring giroud on!</t>
  </si>
  <si>
    <t>Mbappe don use ball blow person head. What's France doing. Beautiful pass from Mbappe and yet another chance missed. That touch and lay off by Mbappe 🔥. Look at that ball from grizzou and the flick by mbappe 😍😍. Mbappe what pass but what did Benzema do 😭😭.</t>
  </si>
  <si>
    <t>[["benzema", 1.0]]</t>
  </si>
  <si>
    <t>Benzema should be subbed off immediately for ruining that. That would’ve been such a good goal ffsss. Griezmann ball over the top, Mbappe touch and reverse pass, Benzema half volley. Benzema isn’t even half the player giroud is for France. I need a goal from Benzema now. Come on.</t>
  </si>
  <si>
    <t>[["striker", 0.637180694188279], ["benzema", 0.5897049870111787], ["class", 0.496234613109453]]</t>
  </si>
  <si>
    <t>And that’s why Giroud is France’s best striker…. So class from mbappe. Smh look at this pipe of a striker called benzema. Oh my, that was class. Benzema needs to do better... Benzema out here missing sitters. My striker couldn’t. Benzema knows what he’s doing. My striker 😻.</t>
  </si>
  <si>
    <t>[["benzema", 0.7901375479180197], ["player", 0.4651794209219626], ["piss", 0.39911246750860413]]</t>
  </si>
  <si>
    <t>Benzema isn’t even half the player giroud is for France. Benzema is really taking the piss now. Benzema is just running and playing passes into the Hungary players man😂😂😂. #Benzema is one of the most overrated players out there. #HUNFRA.</t>
  </si>
  <si>
    <t>[["mbapp", 0.9423001181721449], ["benzema", 0.3347693045856533]]</t>
  </si>
  <si>
    <t>If mbappe and benzema eventually click properly in this tournament, they will most likely win. Master class final pass from Mbappe, very poor delivery from Benzema.. EURO 2020. If Mbappe joins the reds I’m giving up on football. Mbappe is the best footballer in the world man.</t>
  </si>
  <si>
    <t>[["target", 0.6907923647867107], ["harri", 0.5141484722912865], ["shot", 0.4123995864803772], ["hasnt", 0.22088942299137293], ["reason", 0.19897663449327985]]</t>
  </si>
  <si>
    <t>LOL that’s the kinda shots Giroud slaps in. If only this Benzema shot had the accuracy of the previous attempt. The reason why Harry Kane hasn’t even had a shot on target in EURO 2020. Such a poor shot by Benzema. France could be leading now if it was on target!! #FRA EURO 2020.</t>
  </si>
  <si>
    <t>[["bring", 0.5760010858196556], ["win", 0.48769570237871984], ["giroud", 0.4842296624432398], ["pitch", 0.44260285248291253]]</t>
  </si>
  <si>
    <t>Benzema should stick to videoing valbuena imo bring giroud on and France win 8-0. France are winning rn if Giroud is on the pitch. If they really want to win they should bring on CL Winner Olivier Giroud. Bring Lemar or Tolisso on for Rabiot, he's not a footballer.</t>
  </si>
  <si>
    <t>[["peep", 0.7104760850958661], ["creativ", 0.6144931218715276], ["poor", 0.3429605453684659]]</t>
  </si>
  <si>
    <t>📸 - Another good chance for France to score but Benzema with a poor pass.. Peep the touch and creativity from Mbappe, class..</t>
  </si>
  <si>
    <t>[["peep", 0.6901482891284417], ["creativ", 0.5341375770695383], ["touch", 0.4882544293453648]]</t>
  </si>
  <si>
    <t>Still in awe of that touch and pass from Mbappe, would have been a class assist. Peep the touch and creativity from Mbappe, class..</t>
  </si>
  <si>
    <t>Pogba is balling again. Get Pogba into this game.... Griezmann and Rabiot holding the ball too long. Pogba doesn't know when to pass. Nothing concern Kante for this game, just stand behind Pogba and Greizman, collect loose ball, give them back and rest. Kante Nwa Jesus.</t>
  </si>
  <si>
    <t>[["major", 0.5526948892679924], ["futur", 0.5080762243037846], ["move", 0.484492336119505], ["soccer", 0.4490591118279603]]</t>
  </si>
  <si>
    <t>Griezmann wants an Major League Soccer move in the future 👀.</t>
  </si>
  <si>
    <t>Hungary have taken the lead against France! 1-0 #HUNFRA. Kante error leading to goal? Give him the ballon dor 🥶🥶🥶. Wow #HUN take the lead, what a clinical finish. They lead 1-0 just before half-time. #HUNFRA. Hungary take the lead at the stroke of HT ! #HUNFRA.</t>
  </si>
  <si>
    <t>HUNGARY TAKE THE LEAD!!!! EURO 2020. Wooohoo, #hun take the lead. #hun takes the early lead! 🙀. EURO 2020. #HUN take the lead. sksksksk. The Mighty Magyars take the lead! 🇭🇺. EURO 2020. Wow #HUN take the lead, what a clinical finish. They lead 1-0 just before half-time. #HUNFRA.</t>
  </si>
  <si>
    <t>[["win", 0.7541369503863863], ["champion", 0.553885631579697], ["world", 0.25802913791281334], ["didier", 0.24064316150568632]]</t>
  </si>
  <si>
    <t>Who will win today's match between Germany 🇩🇪 vs Portugal 🇵🇹? EURO 2020. Portugalvs Germany. Hungary have taken the lead against France! 1-0 #HUNFRA. Quality goal against the world champions! EURO 2020. Made in Chelsea.. Who's winning the midfield battle? 🤔. EURO 2020.</t>
  </si>
  <si>
    <t>[["gol", 0.8176369049701309], ["ff", 0.5757342196108074]]</t>
  </si>
  <si>
    <t>Gol de #HUN 😳. If Southgate subbed kane off yesterday, deschamps should send benzema home at half-time. Even giroud would have scored those chances ffs. I captained mbappe ffs. Deschamps gonna cost Kante a Ballon d’Or ffsss. Varane Tax ffs. Should've started my man Clement.</t>
  </si>
  <si>
    <t>[["champion", 1.0]]</t>
  </si>
  <si>
    <t>Tokono World Champions #Fra. Puskas Arena erupts. 1-0 against world champions. What a goal against world champions 😍😍😍. #HUN. Can you believe it. Hungary 1 - world Champions 0 #FRAHUN. OH MY WORD! HUNGARY HAVE TAKEN THE LEAD AGAINST THE WORLD CHAMPIONS! 🤩. EURO 2020 Euro Fantasy.</t>
  </si>
  <si>
    <t>[["unseri", 0.6272154345969002], ["job", 0.5873462614582523], ["varan", 0.24867158623852362], ["fiola", 0.21842423750252093], ["near", 0.20023526391524682], ["sleep", 0.20023526391524682], ["touch", 0.18990877696238462], ["stuff", 0.18927439611772354]]</t>
  </si>
  <si>
    <t>Varane couldn’t touch him. Fiola's first touch there was a beauty. EURO 2020. I love this,soak it up and surprise them !. He had just one job and he passed ! #HUN. Lloris gets beat at his near post, Pavard ball watching, Varane sleeping at his job. Very unserious stuff all around.</t>
  </si>
  <si>
    <t>[["llori", 1.0]]</t>
  </si>
  <si>
    <t>Lloris is not a very good keeper is he #HUNFRA. Lloris should've saved that man. How is this guy still their #1 let alone captain. Lloris should save that. Also, Lloris is a very very average goalkeeper. That’s not on Lloris. Defenders left him one on one.</t>
  </si>
  <si>
    <t>[["near", 0.8110875941545038], ["llori", 0.5849247084955967]]</t>
  </si>
  <si>
    <t>Lloris getting beat near post…. Lloris left a gaping gap at his near post. It’s like Lloris only got one arm... he’s so bad on his near post. Lloris beaten at near post. Shockingly over rated keeper. Lloris moving like ddg and ter stegen at the near post😭.</t>
  </si>
  <si>
    <t>[["behind", 0.8204741768772246], ["drill", 0.5716835882528384]]</t>
  </si>
  <si>
    <t>France are losing to Hungary, this is not a drill. The world champions are losing to Hungary.😳#FRAHUN. The World Champions are behind! This is not a drill. 😬. EURO 2020 #HUN.</t>
  </si>
  <si>
    <t>[["drill", 0.7978792195061545], ["behind", 0.6028173447075406]]</t>
  </si>
  <si>
    <t>[["dribbl", 1.0]]</t>
  </si>
  <si>
    <t>Lol kante dribbling 😂🤦🏾‍♂️. Why Kante try to dribble every time he got the ball????? Kante Trying To Dribble His Way Outta Pressure. Dude If You Don’t Go Tackle. Kante not having a good game. Forcing dribbles and it is not quite working for him. Kante trying to dribble 😭.</t>
  </si>
  <si>
    <t>Giroud is Frances best player 👍. Giroud is France’s best striker. Now if you want to win this match you have not choice than to bring in Giroud. France best striker 👌. Come save them Giroud 😅. Giroud unlucky not to feature. Benzema not having his best half of football. #HUNFRA.</t>
  </si>
  <si>
    <t>[["bu", 0.721657084965308], ["spoil", 0.6922507144953872]]</t>
  </si>
  <si>
    <t>Hungary now change their tactics and put three defender at the back 😂😂 it seems like they trying to park bus there #HUN EURO 2020. “Pogba and Kante is the best midfield pivot” 😹. Today wey them no dey park the bus them don place spoil 😭.</t>
  </si>
  <si>
    <t>[["scene", 1.0]]</t>
  </si>
  <si>
    <t>Hungary score. Absolute scenes. Those celebrations is why I ❤️football. EURO 2020 #HUNFRA.. 🇭🇺 When you score against the world champions... 🥳 Scenes in Budapest!. EURO 2020.</t>
  </si>
  <si>
    <t>🇭🇺 When you score against the world champions... 🥳 Scenes in Budapest!. EURO 2020.</t>
  </si>
  <si>
    <t>[["scene", 0.7763357204170638], ["champion", 0.6303196405035453]]</t>
  </si>
  <si>
    <t>[["sei", 0.5592711830043087], ["kwasia", 0.5592711830043087], ["giroud", 0.45586055126772773], ["2018", 0.4081943722294631]]</t>
  </si>
  <si>
    <t>This coach has not been starting Giroud because of what he said about some players not passing to him. You can't tell me otherwise. Chelsea fans are saying Giroud over Benzema forgetting Giroud played 2018 World Cup and got 0 shots on target. Kwasia player sei.</t>
  </si>
  <si>
    <t>[["itw", 1.0]]</t>
  </si>
  <si>
    <t>Hugo Lloris vs Hongria | Highlights🔥📈 | Best Goalkeeper itw?👀🌟 | The French Buffon⁉️⁉️ #HONFRA. Same people who mock Maguire rate Varane as the best ITW 😭.</t>
  </si>
  <si>
    <t>[["fiola", 0.7403234681528592], ["crazi", 0.41534206856124845], ["benzema", 0.3810370612445822], ["hungri", 0.3663644176820099]]</t>
  </si>
  <si>
    <t>Benjamin Pavard- Crazy Football Defensive skills Tackled. Benzema now goKarting.. with Benzema leading the line france won't pass Quater finals. When the English say “Football’s coming home”…. #Fiola #HUNFRA. Hungary are hungry to win this #HUNFRA.</t>
  </si>
  <si>
    <t>[["champ", 0.6286566503961025], ["mood", 0.5748619024971087], ["lead", 0.5237600681324963]]</t>
  </si>
  <si>
    <t>Hungary lead at half-time. 🇭🇺1-0 🇫🇷 #HUNFRA Fiersdetre Bleus. #HUN strike first and lead #FRA 1-0 at halftime💥. (🎥: TUDN USA). A shocker in the making? #HUN leads #FRA!. (via ESPN FC). #HUN mood after taking the lead against the World Champs 😤.</t>
  </si>
  <si>
    <t>[["champ", 0.6221217834630501], ["mood", 0.569004861510274], ["lead", 0.5377712842077266]]</t>
  </si>
  <si>
    <t>Upset alert? 👀. Hungary go up just before halftime against the reigning World Champs 🥶. EURO 2020.. #HUN mood after taking the lead against the World Champs 😤.</t>
  </si>
  <si>
    <t>[["champ", 0.6221934936648776], ["mood", 0.5689518042386906], ["lead", 0.5377444568702056]]</t>
  </si>
  <si>
    <t>#HUN mood after taking the lead against the World Champs 😤.</t>
  </si>
  <si>
    <t>[["pogba", 0.8660340688173926], ["player", 0.49998499142233405]]</t>
  </si>
  <si>
    <t>BEST PLAYER IN FRANCE HISTORY POGBA. Pogba is some player. Look at Pogba man, una go dey slander this special player smh. Pogba for France is a different player ❄️ ❄️. Pogba is such a lovely player for France yc. Paul pogba is actually the worst player on the pitch holy shit.</t>
  </si>
  <si>
    <t>[["unbeaten", 0.8068019878848423], ["hungari", 0.5908219294720423]]</t>
  </si>
  <si>
    <t>Hungary will win this. #HUN. I just turned the football on for the second half. Buzzing for Hungary!!! EURO 2020. The football world to Hungary if they pull this off.. #HUNFRA EURO 2020. 🇭🇺 Hungary are unbeaten against France at EURO finals (W3 D1) 💪. EURO 2020.</t>
  </si>
  <si>
    <t>[["duck", 1.0]]</t>
  </si>
  <si>
    <t>Antoine Griezmann taking a photo of a duck #FRA.</t>
  </si>
  <si>
    <t>[["stood", 1.0]]</t>
  </si>
  <si>
    <t>🇭🇺🆚🇫🇷 Which players have stood out?. EURO 2020.</t>
  </si>
  <si>
    <t>[["rabiot", 1.0]]</t>
  </si>
  <si>
    <t>Rabiot is not great at football. Rabiot out France win. Rabiot finally coming off he’s been meady. Rabiot off for an attacker and they’re winning this game. Rabiot finally off. Finally rabiot coming off, my eyes cannot when i see both pogba and him so casual.</t>
  </si>
  <si>
    <t>Pogba used all his 4 good passes last game. 💀. Why is kante not getting passes from his teammates? Smh. The french midfield today: • passes into the box ❌. • pass to pavard and hope he crosses ✅. Just pass the ball Sterling EURO 2020..</t>
  </si>
  <si>
    <t>I hope Chelsea FC is watching how terrible Varane is as a defender. Don't wanna see him anywhere close to our great club. EURO 2020. Love how #HUN defend!!! Varane, Kimpembe and Pavard are useless and overrated defenders ☺.</t>
  </si>
  <si>
    <t>[["dembel", 1.0]]</t>
  </si>
  <si>
    <t>Dembele just dashing balls away EURO 2020. Does Dembele not realise he's meant to pass to the team in white?? #FRA. Dembele’s passing has been poor #HUNFRA. It's quite difficult to mark a player like Dembele who can hit the ball real hard with both feet... EURO 2020.</t>
  </si>
  <si>
    <t>[["invert", 0.7894742631565271], ["varan", 0.613783665319841]]</t>
  </si>
  <si>
    <t>Thank god the varane is good at football myth has been busted today. Varane will be cooked in the premier league. #HUNFRA. France ain't winning nun w varane starting. Varane’s inverted knees is kicking his ass. Very few ppl make it to pro football with inverted knees.</t>
  </si>
  <si>
    <t>[["greizmann", 0.517093017032846], ["chaotic", 0.4225637127998747], ["let", 0.40153618146675374], ["fulli", 0.38169247604706724], ["sexi", 0.38169247604706724], ["invert", 0.16079079714217068], ["knee", 0.1557832637011346], ["varan", 0.14854712848627075], ["giroud", 0.12868273755614057], ["ass", 0.11268327635642693]]</t>
  </si>
  <si>
    <t>A go take zouma like dat na varane di3 no lie. Take Benzema off bring in Giroud. Varane’s inverted knees is kicking his ass. Very few ppl make it to pro football with inverted knees. Take Greizmann off for Giroud, let’s see big sexy and Benzema together, let’s get fully chaotic.</t>
  </si>
  <si>
    <t>[["llori", 0.8167963439792595], ["mbapp", 0.5769261065874165]]</t>
  </si>
  <si>
    <t>That ball by lloris and the work by mbappe class. The ball by lloris is incredible, Mbappe still great there though. Route one long ball by Lloris, Mbappe pace, Griezman with the finish.. 1-1 come on let's win this boys. When does Lloris ever kick a ball like that for us 🤷🏼‍♂️.</t>
  </si>
  <si>
    <t>[["dribbl", 0.5525429229419718], ["red", 0.5082404461070485], ["yellow", 0.483034233159638], ["pavard", 0.4506283355976752]]</t>
  </si>
  <si>
    <t>Mbappe's dribbling is worse than Ronaldo dfkm. Pavard needs to get a second yellow there…. Pavard might see red this game he needs to come off. Pavard fit collect red o. If pavard gets a red I know they're gonna be sick. Pavard on the yellow/red card knofe’a edge #HUNFRA.</t>
  </si>
  <si>
    <t>[["final", 0.8429943229877841], ["bring", 0.5379224585480399]]</t>
  </si>
  <si>
    <t>Has the commentator just said pogba was outstanding in the champions league final 🤣 get paid real money these. Bring on Giroud if you want to win the game. Pavard is really trying to get himself sent off 😭 his Bayern form is finally showing up in the France team. Finally!! #FRA🙌.</t>
  </si>
  <si>
    <t>[["assist", 0.9662248638703236], ["equalis", 0.25770043158437794]]</t>
  </si>
  <si>
    <t>First Half. ⚽️ | GOAL - Attila Fiola. 🅰 | ASSIST - Roland Sallai. 🇭🇺 Hungary 1-0 France 🇫🇷. Griezmann how you celebrating like that 😂😂😂😂 it’s a equaliser. Does Mbappe get the assist for that? Pls tell me thats a mbappe assist 😭. Give the assist to Lloris, what a wonder ball.</t>
  </si>
  <si>
    <t>Gooooooooooooooooooooooooooooooooooooooooooooooooooooooooooollllllll de #FRA. Gol de #FRA 🥳 EURO 2020. 80% do gol foi do Mbappe. Gol frances !!!! #Griezmann 1-1. 💥‼️ GOOOOOOOOOOOOOOL DE GRIZI 💃🏻💃🏻💃🏻💃🏻 #FRA EURO 2020. Empate a 1️⃣. Goooool de Antoine 😍 EURO 2020. ¡Gooooool de #FRA!</t>
  </si>
  <si>
    <t>If this Mbappe guy is the best player in the world then good lord I’m done with this sport. Mbappe is out of this world. Class from Mbappe. Dembouz should of went where mbappe passed but he doesnt have that strikers instinct. Griezmannnnnnnn, best in the world. Mbappe Speed Tax.</t>
  </si>
  <si>
    <t>Route one pays off for the French. Great kick out from Lloris #FRA. I mean Hugo Lloris kicking has been brilliant this euros. Can’t seem to do it for Spurs! What a kick from LLoris. Best Goal kick #Lloris has ever taken! #Fra goooooal. Best kick I’ve seen Lloris do 😂.</t>
  </si>
  <si>
    <t>Mbappe is easily the best player itw. MBAPPE WHAT A PLAYER. It's so easy to take ball off Mbappe and dembele. Mbappe c'mon 🙄🙄🙄. Wetin these France players smoke today, even Griezouuuu 😒😒😒. That goal was all Mbappe. White trash taking credit smh. Take mbappe off for Coman!</t>
  </si>
  <si>
    <t>[["griezmann", 1.0]]</t>
  </si>
  <si>
    <t>Griezmann getting an equaliser in a Euros game against an underdog. They should take that goal off griezmann just because of that celebration ffs. Not me checking the score to see hungary vs france 1-0 only to see a tweet go 'griezmann scored' 36 seconds ago.</t>
  </si>
  <si>
    <t>[["quintupl", 0.8164840550862431], ["newcastl", 0.4239352793133812], ["griezmann", 0.3919600320739476]]</t>
  </si>
  <si>
    <t>Griezmann giving me proper Dan James vibes celebrating like that whilst they're not winning😭. Finally griezmann. 🙌🏽 Still want 3 more. Goallll!!!!! Finally Griezmann we know back in the game. Antoine Griezmann is the first quintuple-winning Newcastle manager to score in Euro 2020.</t>
  </si>
  <si>
    <t>[["might", 0.7431667094190976], ["realli", 0.6691063009800391]]</t>
  </si>
  <si>
    <t>Mbappe really doing well. France might win this game.</t>
  </si>
  <si>
    <t>[["debat", 1.0]]</t>
  </si>
  <si>
    <t>Antoine Griezmann is the best International player of the last 5 years and it's not up for debate..</t>
  </si>
  <si>
    <t>I thought the new rule says any kind of handball from the striker stops the play ,didn’t Mbappe touch it with his hand ? POGBA: Don’t touch me 😂. Peep the touch and creativity from Mbappe, class.. Benzema every time he touches the ball. 😂 Pogba said “don’t touch me”.</t>
  </si>
  <si>
    <t>[["antoin", 1.0]]</t>
  </si>
  <si>
    <t>You think Antoine Griezmann wasn’t scoring on Juneteenth weekend? TUH. You know it’s black solidarity with all black people. 🇫🇷 Antoine Griezmann has now scored 38 goals for France in 93 games ⚽️. EURO 2020.</t>
  </si>
  <si>
    <t>😂 Pogba said “don’t touch me”. Pogba has only passed sideways or backwards this game btw. Pogba doesn't know when to pass or dribble. Almost cost France. Pogba man just release the goddamn ball. Every time pogba wins the ball, he loses it lol.</t>
  </si>
  <si>
    <t>[["giroud", 0.8093973837636355], ["pogba", 0.5872613346344048]]</t>
  </si>
  <si>
    <t>Giroud finally coming on about 75 minutes to late EURO 2020. Finally Giroud. Get in the fucking bin Benzema. Pogba off Giroud on. France winning 1:4 now. 😢. Giroud has to be one of the top 5 hottest football players currently playing #FRA.</t>
  </si>
  <si>
    <t>[["sallai", 1.0]]</t>
  </si>
  <si>
    <t>Roland Sallai is the most fouled player in the match (6 times). #HUN. Sallai good player. Roland Sallai is a good player mayn.</t>
  </si>
  <si>
    <t>France need a goal and they bring on Giroud 😂😂🤣🤣. I’m a Barca fan but Benzema over Giroud any day. He’s footwork, goal scoring ability and speed than Giroud. Giroud to score the winning assist or goal, let's go! If Giroud scores we’ll never hear the end of it.</t>
  </si>
  <si>
    <t>What is this sub now? could only be for Benzema but that makes no sense. Did he just sub pogba off!?? Sub this benzema guy jur!!! Benzema getting subbed off for Giroud. Justice. Wait it was rabiot they subbed ahahahahah. Told u bout that bum. Nazoke good subs now let's go #FRA.</t>
  </si>
  <si>
    <t>[["wake", 0.7071067812551767], ["giroud", 0.7071067811179184]]</t>
  </si>
  <si>
    <t>Giroud ball let’s get it. YES GIROUD INNNN!! OLIVER BALL TO THE WORLD 🥺🥺🥺🔥🔥🔥🔥🔥. Giroud from a Dembouz cross my meat is breaking. Will Mbappe pass it to Giroud? OHHH MY GODDDD OLIVIER GIROUD IS ON HE WILL SCORE THE WINNER I FEEL IT IN MY BALLS HENRY WAKE UP WAKE UP.</t>
  </si>
  <si>
    <t>On my knees for a Giroud goal 🤞. How are you bringing on Giroud but taking off Pogba ?¿ 😞. Chelsea fans are saying Giroud over Benzema forgetting Giroud played 2018 World Cup and got 0 shots on target. Kwasia player sei.</t>
  </si>
  <si>
    <t>Mbappe to score the winning goal 🥅. 80': #FRA 1-1 #HUN. If i was mbappe i’d have simply just scored. Mbappe has an assist in this game in my book of facts 👍. That was nearly a beautiful goal from Mbappe 🤌🏽. If mbappe passed to giroud, it would have been a goal 🤦‍♀️.</t>
  </si>
  <si>
    <t>[["save", 0.9364795533131639], ["gulacsi", 0.35072217812162537]]</t>
  </si>
  <si>
    <t>How did he save that #HUNFRA. Hmmm good save from Mbappe but not sure why Giroud isn't trying to get a tap in there? What a save Gulacsi. That was save of the tournament by Hungary keeper EURO 2020. Another great save! Lucky #HUN. Gila-gila goalkeeper #HUN ni save 😱🔥.</t>
  </si>
  <si>
    <t>Shit shot from mbappe. Raw finish from Mbappe, has to find the corner there. Mbappe fi pick a corner.. a wah dat. Mbappe you shot it right at him!!!! Come on mbappe back of the net. Mbappe really needs to hit the bottom corner there, come on man that was great from Giroooo.</t>
  </si>
  <si>
    <t>[["might", 1.0]]</t>
  </si>
  <si>
    <t>Mbappe just might be a good footballer. Oooh boy how has Mbappe not scored there. Starting to think my 4-0 France win might be unlikely #FRA. France might not get the win but Greizmann n Mbappe look like they’ve arrived.</t>
  </si>
  <si>
    <t>The hungary keeper looks like gay evil peter cech. #HUNFRA. Gulacsi is a decent keeper tbf. Mbappe needs to finish that, go low and hit it across the keeper smh. Hungary's keeper putting in a solid shift #hun. Mbappe has to score there... not shoot straight at the keeper.</t>
  </si>
  <si>
    <t>[["lemar", 0.9104219242147844], ["dembel", 0.41368093974589837]]</t>
  </si>
  <si>
    <t>Man said lemar when you need a goal 💀. France need a goal and they sub on lemar😭😭. It took 86mins for brainless Deschamps to realise Lemar needs to come in 🤦‍♂️. France need a goal and they bring on Dembele and Lemar😭😭. Deschamps is crazy for subbing off Dembele for fucking Lemar.</t>
  </si>
  <si>
    <t>[["sub", 0.5343456406577316], ["ask", 0.5331248948499423], ["deschamp", 0.47838968033671797], ["dembel", 0.44877154159844973]]</t>
  </si>
  <si>
    <t>Real Madrid asking £80M for Varane is a scam. I’d rather take Pau Torres tbh. Christian Pulisic. Marco Reus. Ousmane Dembele. Talented players that struggle to stay fit... Dembele asking Deschamps why he subbed him on just to take him off.</t>
  </si>
  <si>
    <t>Kante’s been smiling so well how are they not winning. Pogba and Kante pivot about to finally lose. I’m happy Toyin dropped his Kante agenda after that UCL win or? 👀. If kante wins the Ballon Dor im not watching football anymore.</t>
  </si>
  <si>
    <t>[["form", 0.630521703882342], ["werey", 0.49475909987349986], ["nah", 0.49475909987349986], ["wan", 0.2660336897348006], ["return", 0.2051714479261792]]</t>
  </si>
  <si>
    <t>Mbappe nah werey. Giroud give you ball, return am, you wan form match winner..</t>
  </si>
  <si>
    <t>[["wait", 1.0]]</t>
  </si>
  <si>
    <t>Giroud just stands in the box and waits for a loose ball to pounce on. "Don't pass it to Benzema.." Oh wait that's me..</t>
  </si>
  <si>
    <t>[["penalti", 0.6078759164409924], ["kimpemb", 0.5992327183550133], ["pen", 0.520967388100143]]</t>
  </si>
  <si>
    <t>Looks a foul on kimpembe , should be a Pen for #FRA. Penalty to France no? Kimpembe rugby tackled 😂. Tirage de maillot sur kimpembe penalty allo ? They want to give #fra a penalty 🤣🤣🤣. That has to be a penalty EURO 2020. That's a penalty for the attempted undressing of Kimpembe.</t>
  </si>
  <si>
    <t>[["world", 0.8685238971987452], ["point", 0.38781846596049074], ["final", 0.2194082379080777], ["hun", 0.21707856318123014]]</t>
  </si>
  <si>
    <t>Start Giroud ➡️ win the World Cup. Start Benzema ➡️ can’t beat Hungary. 🤷‍♂️. Football fans when they see France and England have the same points Euro 2020. 1-1 against the World Champions. I can live with that. :-P #Hun #Fra.</t>
  </si>
  <si>
    <t>[["deschamp", 0.6623325722208699], ["bare", 0.6283402496954874], ["touch", 0.29037232900171484], ["cross", 0.2866845041818942]]</t>
  </si>
  <si>
    <t>Deschamps ball. Deschamps ball 😳. Varane always gets in the end of crosses and set pieces and barely scores. Mbappe disasterclass. This guy aint touching Rashford. Giroud barely got a pass. #HUNFRA. Lemar really passed there at the end instead of crossing it in 🤣🤣.</t>
  </si>
  <si>
    <t>1-1 against the World Champions. I can live with that. :-P #Hun #Fra. 1-1 it ends, huge result for Hungary who’ve held the world champions. France didn’t have much cutting edge today #HUNFRA. 🇭🇺 When you score against the world champions... 🥳 Scenes in Budapest!. EURO 2020.</t>
  </si>
  <si>
    <t>[["level", 0.6934661245651036], ["champion", 0.3414272305077233], ["finish", 0.33741464200571114], ["point", 0.3284586313398648], ["world", 0.3103588818370417], ["cup", 0.29064726331387336]]</t>
  </si>
  <si>
    <t>Pogba best player in the world? WHAT A RESULT AND A MASSIVE POINT TO TAKE AWAY FOR HUNGARY AGAINST WORLD CHAMPIONS FRANCE #HUNFRA Euro 2020. #HUN 1-1 #FRA FT: It finishes level in Budapest as Hungary take a point from the World Cup Champions..</t>
  </si>
  <si>
    <t>[["fiola", 0.5468217836201801], ["equalis", 0.5153569997455326], ["strike", 0.48151539807962696], ["net", 0.45114966605766904]]</t>
  </si>
  <si>
    <t>GOAL RUSH: HUNGARY 1 - 0 FRANCE (A. Fiola 45+2'). euro 2020 #Fiola. Griezmann. Don’t you fuckin dare equalise pal. ⏰ RESULT ⏰. 🇭🇺 Fiola strikes just before break. 🇫🇷 Griezmann nets second-half equaliser. 🤔 Who impressed you?. EURO 2020.</t>
  </si>
  <si>
    <t>[["fiola", 0.5466873320519082], ["equalis", 0.5157071988041934], ["strike", 0.4813970190537584], ["net", 0.4510387523502324]]</t>
  </si>
  <si>
    <t>⏸️ HALF-TIME ⏸️. 🇭🇺🆚🇫🇷 Fiola puts Hungary ahead before break... 😮 Did you see that coming?. EURO 2020. ⏰ RESULT ⏰. 🇭🇺 Fiola strikes just before break. 🇫🇷 Griezmann nets second-half equaliser. 🤔 Who impressed you?. EURO 2020.</t>
  </si>
  <si>
    <t>[["fiola", 0.5508617615319306], ["equalis", 0.5508617615319306], ["strike", 0.4850729006594092], ["net", 0.39724919183019597]]</t>
  </si>
  <si>
    <t>⏰ RESULT ⏰. 🇭🇺 Fiola strikes just before break. 🇫🇷 Griezmann nets second-half equaliser. 🤔 Who impressed you?. EURO 2020.</t>
  </si>
  <si>
    <t>[["hungri", 1.0]]</t>
  </si>
  <si>
    <t>Hungry players celebrating as if they are in the next round already #HUNFRA. And Hungry were hungry enough to take the draw. This french team can't covert but good job to the Hungarians. #HUNFRA. Euro 2021.</t>
  </si>
  <si>
    <t>#HUNFRA-volume-15-burst-0.7-grouped-split</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</si>
  <si>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</si>
  <si>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OPinion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</si>
</sst>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
    <numFmt numFmtId="165" formatCode="M/d/yyyy H:mm:ss"/>
    <numFmt numFmtId="166" formatCode="h:mm:ss am/pm"/>
  </numFmts>
  <fonts count="16">
    <font>
      <sz val="10.0"/>
      <color rgb="FF000000"/>
      <name val="Arial"/>
      <scheme val="minor"/>
    </font>
    <font>
      <b/>
      <color theme="1"/>
      <name val="Arial"/>
      <scheme val="minor"/>
    </font>
    <font>
      <b/>
      <u/>
      <color rgb="FF0000FF"/>
      <name val="Inconsolata"/>
    </font>
    <font>
      <b/>
      <color theme="1"/>
      <name val="Arial"/>
    </font>
    <font>
      <color theme="1"/>
      <name val="Arial"/>
      <scheme val="minor"/>
    </font>
    <font>
      <b/>
      <sz val="8.0"/>
      <color rgb="FF666666"/>
      <name val="Nunito"/>
    </font>
    <font>
      <color theme="1"/>
      <name val="Inconsolata"/>
    </font>
    <font>
      <color theme="1"/>
      <name val="Arial"/>
    </font>
    <font/>
    <font>
      <sz val="10.0"/>
      <color theme="1"/>
      <name val="Arial"/>
      <scheme val="minor"/>
    </font>
    <font>
      <u/>
      <color rgb="FF000000"/>
      <name val="Arial"/>
    </font>
    <font>
      <u/>
      <color rgb="FF0000FF"/>
    </font>
    <font>
      <u/>
      <color rgb="FF0000FF"/>
      <name val="Arial"/>
    </font>
    <font>
      <color rgb="FF000000"/>
      <name val="Arial"/>
    </font>
    <font>
      <u/>
      <color rgb="FF0000FF"/>
    </font>
    <font>
      <u/>
      <color rgb="FF000000"/>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xf borderId="0" fillId="0" fontId="3" numFmtId="0" xfId="0" applyAlignment="1" applyFont="1">
      <alignment horizontal="right" readingOrder="0" vertical="bottom"/>
    </xf>
    <xf borderId="0" fillId="0" fontId="3" numFmtId="0" xfId="0" applyAlignment="1" applyFont="1">
      <alignment horizontal="right" vertical="bottom"/>
    </xf>
    <xf borderId="0" fillId="0" fontId="4" numFmtId="0" xfId="0" applyFont="1"/>
    <xf borderId="0" fillId="0" fontId="4" numFmtId="10" xfId="0" applyFont="1" applyNumberFormat="1"/>
    <xf borderId="0" fillId="0" fontId="5" numFmtId="0" xfId="0" applyAlignment="1" applyFont="1">
      <alignment readingOrder="0"/>
    </xf>
    <xf borderId="0" fillId="0" fontId="3" numFmtId="0" xfId="0" applyAlignment="1" applyFont="1">
      <alignment horizontal="left" readingOrder="0" vertical="bottom"/>
    </xf>
    <xf borderId="0" fillId="0" fontId="1" numFmtId="0" xfId="0" applyAlignment="1" applyFont="1">
      <alignment horizontal="right" readingOrder="0"/>
    </xf>
    <xf borderId="0" fillId="0" fontId="3" numFmtId="0" xfId="0" applyAlignment="1" applyFont="1">
      <alignment horizontal="right" readingOrder="0" vertical="top"/>
    </xf>
    <xf borderId="0" fillId="0" fontId="4" numFmtId="3" xfId="0" applyFont="1" applyNumberFormat="1"/>
    <xf borderId="0" fillId="0" fontId="4" numFmtId="4" xfId="0" applyFont="1" applyNumberFormat="1"/>
    <xf borderId="0" fillId="0" fontId="4" numFmtId="164" xfId="0" applyFont="1" applyNumberFormat="1"/>
    <xf borderId="0" fillId="0" fontId="3" numFmtId="0" xfId="0" applyAlignment="1" applyFont="1">
      <alignment vertical="bottom"/>
    </xf>
    <xf borderId="0" fillId="0" fontId="6" numFmtId="0" xfId="0" applyAlignment="1" applyFont="1">
      <alignment readingOrder="0" vertical="bottom"/>
    </xf>
    <xf borderId="1" fillId="0" fontId="3" numFmtId="0" xfId="0" applyAlignment="1" applyBorder="1" applyFont="1">
      <alignment vertical="bottom"/>
    </xf>
    <xf borderId="2" fillId="0" fontId="3" numFmtId="0" xfId="0" applyAlignment="1" applyBorder="1" applyFont="1">
      <alignment vertical="bottom"/>
    </xf>
    <xf borderId="3" fillId="0" fontId="1" numFmtId="0" xfId="0" applyAlignment="1" applyBorder="1" applyFont="1">
      <alignment readingOrder="0"/>
    </xf>
    <xf borderId="0" fillId="0" fontId="7" numFmtId="0" xfId="0" applyAlignment="1" applyFont="1">
      <alignment vertical="bottom"/>
    </xf>
    <xf borderId="4" fillId="0" fontId="7" numFmtId="0" xfId="0" applyAlignment="1" applyBorder="1" applyFont="1">
      <alignment vertical="bottom"/>
    </xf>
    <xf borderId="0" fillId="0" fontId="7" numFmtId="0" xfId="0" applyAlignment="1" applyFont="1">
      <alignment horizontal="right" vertical="bottom"/>
    </xf>
    <xf borderId="5" fillId="0" fontId="4" numFmtId="10" xfId="0" applyBorder="1" applyFont="1" applyNumberFormat="1"/>
    <xf borderId="0" fillId="0" fontId="3" numFmtId="0" xfId="0" applyAlignment="1" applyFont="1">
      <alignment vertical="bottom"/>
    </xf>
    <xf borderId="4" fillId="0" fontId="1" numFmtId="0" xfId="0" applyAlignment="1" applyBorder="1" applyFont="1">
      <alignment readingOrder="0"/>
    </xf>
    <xf borderId="5" fillId="0" fontId="7" numFmtId="10" xfId="0" applyAlignment="1" applyBorder="1" applyFont="1" applyNumberFormat="1">
      <alignment horizontal="right" vertical="bottom"/>
    </xf>
    <xf borderId="0" fillId="0" fontId="7" numFmtId="10" xfId="0" applyAlignment="1" applyFont="1" applyNumberFormat="1">
      <alignment horizontal="right" vertical="bottom"/>
    </xf>
    <xf borderId="6" fillId="0" fontId="4" numFmtId="0" xfId="0" applyBorder="1" applyFont="1"/>
    <xf borderId="7" fillId="0" fontId="8" numFmtId="0" xfId="0" applyBorder="1" applyFont="1"/>
    <xf borderId="8" fillId="0" fontId="8" numFmtId="0" xfId="0" applyBorder="1" applyFont="1"/>
    <xf borderId="0" fillId="2" fontId="0" numFmtId="0" xfId="0" applyAlignment="1" applyFill="1" applyFont="1">
      <alignment horizontal="right"/>
    </xf>
    <xf borderId="0" fillId="0" fontId="9" numFmtId="0" xfId="0" applyAlignment="1" applyFont="1">
      <alignment horizontal="right" vertical="bottom"/>
    </xf>
    <xf borderId="0" fillId="0" fontId="3" numFmtId="0" xfId="0" applyAlignment="1" applyFont="1">
      <alignment readingOrder="0" vertical="bottom"/>
    </xf>
    <xf borderId="0" fillId="0" fontId="10" numFmtId="0" xfId="0" applyAlignment="1" applyFont="1">
      <alignment readingOrder="0" shrinkToFit="0" vertical="bottom" wrapText="0"/>
    </xf>
    <xf borderId="0" fillId="0" fontId="7" numFmtId="3" xfId="0" applyAlignment="1" applyFont="1" applyNumberFormat="1">
      <alignment horizontal="right" vertical="bottom"/>
    </xf>
    <xf borderId="0" fillId="0" fontId="7" numFmtId="0" xfId="0" applyAlignment="1" applyFont="1">
      <alignment readingOrder="0"/>
    </xf>
    <xf borderId="0" fillId="0" fontId="7" numFmtId="0" xfId="0" applyAlignment="1" applyFont="1">
      <alignment vertical="bottom"/>
    </xf>
    <xf borderId="0" fillId="0" fontId="7" numFmtId="0" xfId="0" applyAlignment="1" applyFont="1">
      <alignment readingOrder="0" vertical="bottom"/>
    </xf>
    <xf borderId="0" fillId="0" fontId="7" numFmtId="10" xfId="0" applyAlignment="1" applyFont="1" applyNumberFormat="1">
      <alignment vertical="bottom"/>
    </xf>
    <xf borderId="0" fillId="0" fontId="4" numFmtId="0" xfId="0" applyAlignment="1" applyFont="1">
      <alignment readingOrder="0"/>
    </xf>
    <xf borderId="0" fillId="0" fontId="4" numFmtId="165" xfId="0" applyFont="1" applyNumberFormat="1"/>
    <xf borderId="0" fillId="0" fontId="11" numFmtId="0" xfId="0" applyAlignment="1" applyFont="1">
      <alignment readingOrder="0" shrinkToFit="0" wrapText="0"/>
    </xf>
    <xf borderId="0" fillId="0" fontId="7" numFmtId="166" xfId="0" applyAlignment="1" applyFont="1" applyNumberFormat="1">
      <alignment vertical="bottom"/>
    </xf>
    <xf borderId="0" fillId="0" fontId="12" numFmtId="0" xfId="0" applyAlignment="1" applyFont="1">
      <alignment readingOrder="0" shrinkToFit="0" vertical="bottom" wrapText="0"/>
    </xf>
    <xf borderId="0" fillId="0" fontId="4" numFmtId="0" xfId="0" applyAlignment="1" applyFont="1">
      <alignment readingOrder="0"/>
    </xf>
    <xf borderId="0" fillId="0" fontId="7" numFmtId="0" xfId="0" applyAlignment="1" applyFont="1">
      <alignment horizontal="right" vertical="bottom"/>
    </xf>
    <xf borderId="0" fillId="2" fontId="13" numFmtId="166" xfId="0" applyAlignment="1" applyFont="1" applyNumberFormat="1">
      <alignment vertical="bottom"/>
    </xf>
    <xf borderId="0" fillId="0" fontId="14" numFmtId="0" xfId="0" applyAlignment="1" applyFont="1">
      <alignment readingOrder="0"/>
    </xf>
    <xf borderId="0" fillId="0" fontId="15" numFmtId="0" xfId="0" applyAlignment="1" applyFont="1">
      <alignment shrinkToFit="0" vertical="bottom" wrapText="0"/>
    </xf>
  </cellXfs>
  <cellStyles count="1">
    <cellStyle xfId="0" name="Normal" builtinId="0"/>
  </cellStyles>
  <dxfs count="1">
    <dxf>
      <font/>
      <fill>
        <patternFill patternType="solid">
          <fgColor rgb="FFDFFFF0"/>
          <bgColor rgb="FFDFFFF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55.63"/>
  </cols>
  <sheetData>
    <row r="3">
      <c r="B3" s="1" t="s">
        <v>0</v>
      </c>
    </row>
    <row r="4">
      <c r="B4" s="1" t="s">
        <v>1</v>
      </c>
      <c r="C4" s="1" t="s">
        <v>2</v>
      </c>
      <c r="D4" s="1" t="s">
        <v>3</v>
      </c>
      <c r="E4" s="1" t="s">
        <v>4</v>
      </c>
      <c r="F4" s="1" t="s">
        <v>5</v>
      </c>
      <c r="G4" s="1" t="s">
        <v>6</v>
      </c>
    </row>
    <row r="5">
      <c r="B5" s="2" t="s">
        <v>7</v>
      </c>
      <c r="C5" s="2" t="s">
        <v>8</v>
      </c>
      <c r="D5" s="2" t="s">
        <v>9</v>
      </c>
      <c r="E5" s="2" t="s">
        <v>10</v>
      </c>
      <c r="F5" s="2" t="s">
        <v>11</v>
      </c>
      <c r="G5" s="2" t="s">
        <v>12</v>
      </c>
    </row>
    <row r="6">
      <c r="K6" s="1"/>
      <c r="L6" s="1"/>
      <c r="M6" s="1"/>
      <c r="N6" s="1"/>
      <c r="O6" s="1"/>
      <c r="P6" s="1"/>
      <c r="Q6" s="1"/>
      <c r="R6" s="1"/>
      <c r="S6" s="1"/>
    </row>
    <row r="7">
      <c r="B7" s="1" t="s">
        <v>13</v>
      </c>
      <c r="K7" s="1" t="s">
        <v>14</v>
      </c>
      <c r="Q7" s="1"/>
      <c r="R7" s="1"/>
      <c r="S7" s="1"/>
      <c r="T7" s="1" t="s">
        <v>15</v>
      </c>
      <c r="AC7" s="1" t="s">
        <v>16</v>
      </c>
      <c r="AL7" s="1" t="s">
        <v>17</v>
      </c>
      <c r="AU7" s="1" t="s">
        <v>18</v>
      </c>
      <c r="BA7" s="1"/>
      <c r="BB7" s="1"/>
    </row>
    <row r="8">
      <c r="A8" s="1" t="s">
        <v>19</v>
      </c>
      <c r="B8" s="1" t="s">
        <v>1</v>
      </c>
      <c r="C8" s="1" t="s">
        <v>2</v>
      </c>
      <c r="D8" s="1" t="s">
        <v>3</v>
      </c>
      <c r="E8" s="1" t="s">
        <v>4</v>
      </c>
      <c r="F8" s="1" t="s">
        <v>5</v>
      </c>
      <c r="G8" s="1" t="s">
        <v>6</v>
      </c>
      <c r="H8" s="1" t="s">
        <v>20</v>
      </c>
      <c r="I8" s="1" t="s">
        <v>21</v>
      </c>
      <c r="K8" s="1" t="s">
        <v>1</v>
      </c>
      <c r="L8" s="1" t="s">
        <v>2</v>
      </c>
      <c r="M8" s="1" t="s">
        <v>3</v>
      </c>
      <c r="N8" s="1" t="s">
        <v>4</v>
      </c>
      <c r="O8" s="1" t="s">
        <v>5</v>
      </c>
      <c r="P8" s="1" t="s">
        <v>6</v>
      </c>
      <c r="Q8" s="3" t="s">
        <v>20</v>
      </c>
      <c r="R8" s="3" t="s">
        <v>21</v>
      </c>
      <c r="S8" s="4"/>
      <c r="T8" s="1" t="s">
        <v>1</v>
      </c>
      <c r="U8" s="1" t="s">
        <v>2</v>
      </c>
      <c r="V8" s="1" t="s">
        <v>3</v>
      </c>
      <c r="W8" s="1" t="s">
        <v>4</v>
      </c>
      <c r="X8" s="1" t="s">
        <v>5</v>
      </c>
      <c r="Y8" s="1" t="s">
        <v>6</v>
      </c>
      <c r="Z8" s="3" t="s">
        <v>20</v>
      </c>
      <c r="AA8" s="3" t="s">
        <v>21</v>
      </c>
      <c r="AC8" s="1" t="s">
        <v>1</v>
      </c>
      <c r="AD8" s="1" t="s">
        <v>2</v>
      </c>
      <c r="AE8" s="1" t="s">
        <v>3</v>
      </c>
      <c r="AF8" s="1" t="s">
        <v>4</v>
      </c>
      <c r="AG8" s="1" t="s">
        <v>5</v>
      </c>
      <c r="AH8" s="1" t="s">
        <v>6</v>
      </c>
      <c r="AI8" s="3" t="s">
        <v>20</v>
      </c>
      <c r="AJ8" s="3" t="s">
        <v>21</v>
      </c>
      <c r="AL8" s="1" t="s">
        <v>1</v>
      </c>
      <c r="AM8" s="1" t="s">
        <v>2</v>
      </c>
      <c r="AN8" s="1" t="s">
        <v>3</v>
      </c>
      <c r="AO8" s="1" t="s">
        <v>4</v>
      </c>
      <c r="AP8" s="1" t="s">
        <v>5</v>
      </c>
      <c r="AQ8" s="1" t="s">
        <v>6</v>
      </c>
      <c r="AR8" s="3" t="s">
        <v>20</v>
      </c>
      <c r="AS8" s="3" t="s">
        <v>21</v>
      </c>
      <c r="AU8" s="1" t="s">
        <v>1</v>
      </c>
      <c r="AV8" s="1" t="s">
        <v>2</v>
      </c>
      <c r="AW8" s="1" t="s">
        <v>3</v>
      </c>
      <c r="AX8" s="1" t="s">
        <v>4</v>
      </c>
      <c r="AY8" s="1" t="s">
        <v>5</v>
      </c>
      <c r="AZ8" s="1" t="s">
        <v>6</v>
      </c>
      <c r="BA8" s="3" t="s">
        <v>20</v>
      </c>
      <c r="BB8" s="3" t="s">
        <v>21</v>
      </c>
    </row>
    <row r="9">
      <c r="A9" s="5" t="str">
        <f>IFERROR(__xludf.DUMMYFUNCTION("FILTER(UNIQUE({TRANSPOSE(INDEX(INDIRECT(INDEX($B$5) &amp; ""!E$9:9""))); TRANSPOSE(INDEX(INDIRECT(INDEX($C$5) &amp; ""!E$9:9""))); TRANSPOSE(INDEX(INDIRECT(INDEX($D$5) &amp; ""!E$9:9""))); TRANSPOSE(INDEX(INDIRECT(INDEX($E$5) &amp; ""!E$9:9""))); TRANSPOSE(INDEX(INDIRECT"&amp;"(INDEX($F$5) &amp; ""!E$9:9""))); TRANSPOSE(INDEX(INDIRECT(INDEX($G$5) &amp; ""!E$9:9"")))}), LEN(UNIQUE({TRANSPOSE(INDEX(INDIRECT(INDEX($B$5) &amp; ""!E$9:9""))); TRANSPOSE(INDEX(INDIRECT(INDEX($C$5) &amp; ""!E$9:9""))); TRANSPOSE(INDEX(INDIRECT(INDEX($D$5) &amp; ""!E$9:9"""&amp;"))); TRANSPOSE(INDEX(INDIRECT(INDEX($E$5) &amp; ""!E$9:9""))); TRANSPOSE(INDEX(INDIRECT(INDEX($F$5) &amp; ""!E$9:9""))); TRANSPOSE(INDEX(INDIRECT(INDEX($G$5) &amp; ""!E$9:9"")))})))"),"['champion', 'final', 'leagu', 'footbal', 'win']")</f>
        <v>['champion', 'final', 'leagu', 'footbal', 'win']</v>
      </c>
      <c r="B9" s="6">
        <f t="shared" ref="B9:G9" si="1">IFNA(INDEX(INDIRECT(B$5 &amp; "!A:ZZ"), 8, MATCH($A9, INDIRECT(INDEX(B$5,0) &amp; "!$9:$9"), 0) + 2))</f>
        <v>0.5217391304</v>
      </c>
      <c r="C9" s="6">
        <f t="shared" si="1"/>
        <v>0.625</v>
      </c>
      <c r="D9" s="6">
        <f t="shared" si="1"/>
        <v>0.3636363636</v>
      </c>
      <c r="E9" s="6">
        <f t="shared" si="1"/>
        <v>0.4285714286</v>
      </c>
      <c r="F9" s="6">
        <f t="shared" si="1"/>
        <v>0.6363636364</v>
      </c>
      <c r="G9" s="6">
        <f t="shared" si="1"/>
        <v>0.4117647059</v>
      </c>
      <c r="H9" s="6">
        <f t="shared" ref="H9:H21" si="8">AVERAGE(B9:G9)</f>
        <v>0.4978458775</v>
      </c>
      <c r="I9" s="6">
        <f t="array" ref="I9">SUM(B9:G9*$B26:$G26)/SUM($B26:$G26)</f>
        <v>0.5</v>
      </c>
      <c r="J9" s="7" t="s">
        <v>22</v>
      </c>
      <c r="K9" s="6">
        <f t="shared" ref="K9:P9" si="2">IFNA(INDEX(INDIRECT(B$5 &amp; "!A:ZZ"), MATCH($K$7, INDIRECT(INDEX(B$5,0) &amp; "!$E$3:$E$7"), 0) + 2, MATCH($A9, INDIRECT(INDEX(B$5,0) &amp; "!$9:$9"), 0) + 2))</f>
        <v>0.1304347826</v>
      </c>
      <c r="L9" s="6">
        <f t="shared" si="2"/>
        <v>0</v>
      </c>
      <c r="M9" s="6">
        <f t="shared" si="2"/>
        <v>0</v>
      </c>
      <c r="N9" s="6">
        <f t="shared" si="2"/>
        <v>0</v>
      </c>
      <c r="O9" s="6">
        <f t="shared" si="2"/>
        <v>0.09090909091</v>
      </c>
      <c r="P9" s="6">
        <f t="shared" si="2"/>
        <v>0.1176470588</v>
      </c>
      <c r="Q9" s="6">
        <f t="shared" ref="Q9:Q21" si="10">SUM(K9:P9)/6</f>
        <v>0.05649848872</v>
      </c>
      <c r="R9" s="6">
        <f t="array" ref="R9">SUM(K9:P9*$B26:$G26)/SUM($B26:$G26)</f>
        <v>0.0652173913</v>
      </c>
      <c r="S9" s="6"/>
      <c r="T9" s="6">
        <f t="shared" ref="T9:Y9" si="3">IFNA(INDEX(INDIRECT(B$5 &amp; "!A:ZZ"), MATCH($T$7, INDIRECT(INDEX(B$5,0) &amp; "!$E$3:$E$7"), 0) + 2, MATCH($A9, INDIRECT(INDEX(B$5,0) &amp; "!$9:$9"), 0) + 2))</f>
        <v>0.1304347826</v>
      </c>
      <c r="U9" s="6">
        <f t="shared" si="3"/>
        <v>0.125</v>
      </c>
      <c r="V9" s="6">
        <f t="shared" si="3"/>
        <v>0.3636363636</v>
      </c>
      <c r="W9" s="6">
        <f t="shared" si="3"/>
        <v>0.07142857143</v>
      </c>
      <c r="X9" s="6">
        <f t="shared" si="3"/>
        <v>0</v>
      </c>
      <c r="Y9" s="6">
        <f t="shared" si="3"/>
        <v>0.1764705882</v>
      </c>
      <c r="Z9" s="6">
        <f t="shared" ref="Z9:Z21" si="12">SUM(T9:Y9)/6</f>
        <v>0.144495051</v>
      </c>
      <c r="AA9" s="6">
        <f t="array" ref="AA9">SUM(T9:Y9*$B26:$G26)/SUM($B26:$G26)</f>
        <v>0.1413043478</v>
      </c>
      <c r="AC9" s="6">
        <f t="shared" ref="AC9:AH9" si="4">IFNA(INDEX(INDIRECT(B$5 &amp; "!A:ZZ"), MATCH($AC$7, INDIRECT(INDEX(B$5,0) &amp; "!$E$3:$E$7"), 0) + 2, MATCH($A9, INDIRECT(INDEX(B$5,0) &amp; "!$9:$9"), 0) + 2))</f>
        <v>0.2173913043</v>
      </c>
      <c r="AD9" s="6">
        <f t="shared" si="4"/>
        <v>0.25</v>
      </c>
      <c r="AE9" s="6">
        <f t="shared" si="4"/>
        <v>0.2727272727</v>
      </c>
      <c r="AF9" s="6">
        <f t="shared" si="4"/>
        <v>0.5</v>
      </c>
      <c r="AG9" s="6">
        <f t="shared" si="4"/>
        <v>0.2727272727</v>
      </c>
      <c r="AH9" s="6">
        <f t="shared" si="4"/>
        <v>0.2941176471</v>
      </c>
      <c r="AI9" s="6">
        <f t="shared" ref="AI9:AI21" si="14">SUM(AC9:AH9)/6</f>
        <v>0.3011605828</v>
      </c>
      <c r="AJ9" s="6">
        <f t="array" ref="AJ9">SUM(AC9:AH9*$B26:$G26)/SUM($B26:$G26)</f>
        <v>0.2934782609</v>
      </c>
      <c r="AL9" s="6">
        <f t="shared" ref="AL9:AQ9" si="5">IFNA(INDEX(INDIRECT(B$5 &amp; "!A:ZZ"), MATCH($AL$7, INDIRECT(INDEX(B$5,0) &amp; "!$E$3:$E$7"), 0) + 2, MATCH($A9, INDIRECT(INDEX(B$5,0) &amp; "!$9:$9"), 0) + 2))</f>
        <v>0.2173913043</v>
      </c>
      <c r="AM9" s="6">
        <f t="shared" si="5"/>
        <v>0.3125</v>
      </c>
      <c r="AN9" s="6">
        <f t="shared" si="5"/>
        <v>0.09090909091</v>
      </c>
      <c r="AO9" s="6">
        <f t="shared" si="5"/>
        <v>0.1428571429</v>
      </c>
      <c r="AP9" s="6">
        <f t="shared" si="5"/>
        <v>0.5454545455</v>
      </c>
      <c r="AQ9" s="6">
        <f t="shared" si="5"/>
        <v>0.2941176471</v>
      </c>
      <c r="AR9" s="6">
        <f t="shared" ref="AR9:AR21" si="16">SUM(AL9:AQ9)/6</f>
        <v>0.2672049551</v>
      </c>
      <c r="AS9" s="6">
        <f t="array" ref="AS9">SUM(AL9:AQ9*$B26:$G26)/SUM($B26:$G26)</f>
        <v>0.2608695652</v>
      </c>
      <c r="AU9" s="6">
        <f t="shared" ref="AU9:AZ9" si="6">IFNA(INDEX(INDIRECT(B$5 &amp; "!A:ZZ"), MATCH($AU$7, INDIRECT(INDEX(B$5,0) &amp; "!$E$3:$E$7"), 0) + 2, MATCH($A9, INDIRECT(INDEX(B$5,0) &amp; "!$9:$9"), 0) + 2))</f>
        <v>0.3043478261</v>
      </c>
      <c r="AV9" s="6">
        <f t="shared" si="6"/>
        <v>0.3125</v>
      </c>
      <c r="AW9" s="6">
        <f t="shared" si="6"/>
        <v>0.2727272727</v>
      </c>
      <c r="AX9" s="6">
        <f t="shared" si="6"/>
        <v>0.2857142857</v>
      </c>
      <c r="AY9" s="6">
        <f t="shared" si="6"/>
        <v>0.09090909091</v>
      </c>
      <c r="AZ9" s="6">
        <f t="shared" si="6"/>
        <v>0.1176470588</v>
      </c>
      <c r="BA9" s="6">
        <f t="shared" ref="BA9:BA21" si="18">SUM(AU9:AZ9)/6</f>
        <v>0.2306409224</v>
      </c>
      <c r="BB9" s="6">
        <f t="array" ref="BB9">SUM(AU9:AZ9*$B26:$G26)/SUM($B26:$G26)</f>
        <v>0.2391304348</v>
      </c>
    </row>
    <row r="10">
      <c r="A10" s="5" t="str">
        <f>IFERROR(__xludf.DUMMYFUNCTION("""COMPUTED_VALUE"""),"['take', 'knee', 'player']")</f>
        <v>['take', 'knee', 'player']</v>
      </c>
      <c r="B10" s="6">
        <f t="shared" ref="B10:G10" si="7">IFNA(INDEX(INDIRECT(B$5 &amp; "!A:ZZ"), 8, MATCH($A10, INDIRECT(INDEX(B$5,0) &amp; "!$9:$9"), 0) + 2))</f>
        <v>0.7777777778</v>
      </c>
      <c r="C10" s="6">
        <f t="shared" si="7"/>
        <v>0.4117647059</v>
      </c>
      <c r="D10" s="6">
        <f t="shared" si="7"/>
        <v>0.5714285714</v>
      </c>
      <c r="E10" s="6">
        <f t="shared" si="7"/>
        <v>0.2857142857</v>
      </c>
      <c r="F10" s="6">
        <f t="shared" si="7"/>
        <v>0.6666666667</v>
      </c>
      <c r="G10" s="6">
        <f t="shared" si="7"/>
        <v>0.375</v>
      </c>
      <c r="H10" s="6">
        <f t="shared" si="8"/>
        <v>0.5147253346</v>
      </c>
      <c r="I10" s="6">
        <f t="array" ref="I10">SUM(B10:G10*$B27:$G27)/SUM($B27:$G27)</f>
        <v>0.5211267606</v>
      </c>
      <c r="J10" s="6"/>
      <c r="K10" s="6">
        <f t="shared" ref="K10:P10" si="9">IFNA(INDEX(INDIRECT(B$5 &amp; "!A:ZZ"), MATCH($K$7, INDIRECT(INDEX(B$5,0) &amp; "!$E$3:$E$7"), 0) + 2, MATCH($A10, INDIRECT(INDEX(B$5,0) &amp; "!$9:$9"), 0) + 2))</f>
        <v>0.05555555556</v>
      </c>
      <c r="L10" s="6">
        <f t="shared" si="9"/>
        <v>0.1176470588</v>
      </c>
      <c r="M10" s="6">
        <f t="shared" si="9"/>
        <v>0</v>
      </c>
      <c r="N10" s="6">
        <f t="shared" si="9"/>
        <v>0</v>
      </c>
      <c r="O10" s="6">
        <f t="shared" si="9"/>
        <v>0</v>
      </c>
      <c r="P10" s="6">
        <f t="shared" si="9"/>
        <v>0</v>
      </c>
      <c r="Q10" s="6">
        <f t="shared" si="10"/>
        <v>0.0288671024</v>
      </c>
      <c r="R10" s="6">
        <f t="array" ref="R10">SUM(K10:P10*$B27:$G27)/SUM($B27:$G27)</f>
        <v>0.04225352113</v>
      </c>
      <c r="S10" s="6"/>
      <c r="T10" s="6">
        <f t="shared" ref="T10:Y10" si="11">IFNA(INDEX(INDIRECT(B$5 &amp; "!A:ZZ"), MATCH($T$7, INDIRECT(INDEX(B$5,0) &amp; "!$E$3:$E$7"), 0) + 2, MATCH($A10, INDIRECT(INDEX(B$5,0) &amp; "!$9:$9"), 0) + 2))</f>
        <v>0</v>
      </c>
      <c r="U10" s="6">
        <f t="shared" si="11"/>
        <v>0.1176470588</v>
      </c>
      <c r="V10" s="6">
        <f t="shared" si="11"/>
        <v>0.1428571429</v>
      </c>
      <c r="W10" s="6">
        <f t="shared" si="11"/>
        <v>0.2857142857</v>
      </c>
      <c r="X10" s="6">
        <f t="shared" si="11"/>
        <v>0</v>
      </c>
      <c r="Y10" s="6">
        <f t="shared" si="11"/>
        <v>0.1875</v>
      </c>
      <c r="Z10" s="6">
        <f t="shared" si="12"/>
        <v>0.1222864146</v>
      </c>
      <c r="AA10" s="6">
        <f t="array" ref="AA10">SUM(T10:Y10*$B27:$G27)/SUM($B27:$G27)</f>
        <v>0.1126760563</v>
      </c>
      <c r="AC10" s="6">
        <f t="shared" ref="AC10:AH10" si="13">IFNA(INDEX(INDIRECT(B$5 &amp; "!A:ZZ"), MATCH($AC$7, INDIRECT(INDEX(B$5,0) &amp; "!$E$3:$E$7"), 0) + 2, MATCH($A10, INDIRECT(INDEX(B$5,0) &amp; "!$9:$9"), 0) + 2))</f>
        <v>0.1666666667</v>
      </c>
      <c r="AD10" s="6">
        <f t="shared" si="13"/>
        <v>0.3529411765</v>
      </c>
      <c r="AE10" s="6">
        <f t="shared" si="13"/>
        <v>0.2857142857</v>
      </c>
      <c r="AF10" s="6">
        <f t="shared" si="13"/>
        <v>0.4285714286</v>
      </c>
      <c r="AG10" s="6">
        <f t="shared" si="13"/>
        <v>0.3333333333</v>
      </c>
      <c r="AH10" s="6">
        <f t="shared" si="13"/>
        <v>0.4375</v>
      </c>
      <c r="AI10" s="6">
        <f t="shared" si="14"/>
        <v>0.3341211485</v>
      </c>
      <c r="AJ10" s="6">
        <f t="array" ref="AJ10">SUM(AC10:AH10*$B27:$G27)/SUM($B27:$G27)</f>
        <v>0.323943662</v>
      </c>
      <c r="AL10" s="6">
        <f t="shared" ref="AL10:AQ10" si="15">IFNA(INDEX(INDIRECT(B$5 &amp; "!A:ZZ"), MATCH($AL$7, INDIRECT(INDEX(B$5,0) &amp; "!$E$3:$E$7"), 0) + 2, MATCH($A10, INDIRECT(INDEX(B$5,0) &amp; "!$9:$9"), 0) + 2))</f>
        <v>0.3333333333</v>
      </c>
      <c r="AM10" s="6">
        <f t="shared" si="15"/>
        <v>0.2352941176</v>
      </c>
      <c r="AN10" s="6">
        <f t="shared" si="15"/>
        <v>0.2857142857</v>
      </c>
      <c r="AO10" s="6">
        <f t="shared" si="15"/>
        <v>0.2857142857</v>
      </c>
      <c r="AP10" s="6">
        <f t="shared" si="15"/>
        <v>0.5</v>
      </c>
      <c r="AQ10" s="6">
        <f t="shared" si="15"/>
        <v>0.25</v>
      </c>
      <c r="AR10" s="6">
        <f t="shared" si="16"/>
        <v>0.3150093371</v>
      </c>
      <c r="AS10" s="6">
        <f t="array" ref="AS10">SUM(AL10:AQ10*$B27:$G27)/SUM($B27:$G27)</f>
        <v>0.2957746479</v>
      </c>
      <c r="AU10" s="6">
        <f t="shared" ref="AU10:AZ10" si="17">IFNA(INDEX(INDIRECT(B$5 &amp; "!A:ZZ"), MATCH($AU$7, INDIRECT(INDEX(B$5,0) &amp; "!$E$3:$E$7"), 0) + 2, MATCH($A10, INDIRECT(INDEX(B$5,0) &amp; "!$9:$9"), 0) + 2))</f>
        <v>0.4444444444</v>
      </c>
      <c r="AV10" s="6">
        <f t="shared" si="17"/>
        <v>0.1764705882</v>
      </c>
      <c r="AW10" s="6">
        <f t="shared" si="17"/>
        <v>0.2857142857</v>
      </c>
      <c r="AX10" s="6">
        <f t="shared" si="17"/>
        <v>0</v>
      </c>
      <c r="AY10" s="6">
        <f t="shared" si="17"/>
        <v>0.1666666667</v>
      </c>
      <c r="AZ10" s="6">
        <f t="shared" si="17"/>
        <v>0.125</v>
      </c>
      <c r="BA10" s="6">
        <f t="shared" si="18"/>
        <v>0.1997159975</v>
      </c>
      <c r="BB10" s="6">
        <f t="array" ref="BB10">SUM(AU10:AZ10*$B27:$G27)/SUM($B27:$G27)</f>
        <v>0.2253521127</v>
      </c>
    </row>
    <row r="11">
      <c r="A11" s="5" t="str">
        <f>IFERROR(__xludf.DUMMYFUNCTION("""COMPUTED_VALUE"""),"['goal', 'score', 'conced', 'equalis', 'offsid', 'assist']")</f>
        <v>['goal', 'score', 'conced', 'equalis', 'offsid', 'assist']</v>
      </c>
      <c r="B11" s="6">
        <f t="shared" ref="B11:G11" si="19">IFNA(INDEX(INDIRECT(B$5 &amp; "!A:ZZ"), 8, MATCH($A11, INDIRECT(INDEX(B$5,0) &amp; "!$9:$9"), 0) + 2))</f>
        <v>0.6666666667</v>
      </c>
      <c r="C11" s="6">
        <f t="shared" si="19"/>
        <v>0.8461538462</v>
      </c>
      <c r="D11" s="6">
        <f t="shared" si="19"/>
        <v>0.8</v>
      </c>
      <c r="E11" s="6">
        <f t="shared" si="19"/>
        <v>0.7</v>
      </c>
      <c r="F11" s="6">
        <f t="shared" si="19"/>
        <v>0.8571428571</v>
      </c>
      <c r="G11" s="6">
        <f t="shared" si="19"/>
        <v>0.7</v>
      </c>
      <c r="H11" s="6">
        <f t="shared" si="8"/>
        <v>0.7616605617</v>
      </c>
      <c r="I11" s="6">
        <f t="array" ref="I11">SUM(B11:G11*$B28:$G28)/SUM($B28:$G28)</f>
        <v>0.75</v>
      </c>
      <c r="J11" s="6"/>
      <c r="K11" s="6">
        <f t="shared" ref="K11:P11" si="20">IFNA(INDEX(INDIRECT(B$5 &amp; "!A:ZZ"), MATCH($K$7, INDIRECT(INDEX(B$5,0) &amp; "!$E$3:$E$7"), 0) + 2, MATCH($A11, INDIRECT(INDEX(B$5,0) &amp; "!$9:$9"), 0) + 2))</f>
        <v>0.1333333333</v>
      </c>
      <c r="L11" s="6">
        <f t="shared" si="20"/>
        <v>0.07692307692</v>
      </c>
      <c r="M11" s="6">
        <f t="shared" si="20"/>
        <v>0</v>
      </c>
      <c r="N11" s="6">
        <f t="shared" si="20"/>
        <v>0.2</v>
      </c>
      <c r="O11" s="6">
        <f t="shared" si="20"/>
        <v>0</v>
      </c>
      <c r="P11" s="6">
        <f t="shared" si="20"/>
        <v>0.2</v>
      </c>
      <c r="Q11" s="6">
        <f t="shared" si="10"/>
        <v>0.1017094017</v>
      </c>
      <c r="R11" s="6">
        <f t="array" ref="R11">SUM(K11:P11*$B28:$G28)/SUM($B28:$G28)</f>
        <v>0.1166666667</v>
      </c>
      <c r="S11" s="6"/>
      <c r="T11" s="6">
        <f t="shared" ref="T11:Y11" si="21">IFNA(INDEX(INDIRECT(B$5 &amp; "!A:ZZ"), MATCH($T$7, INDIRECT(INDEX(B$5,0) &amp; "!$E$3:$E$7"), 0) + 2, MATCH($A11, INDIRECT(INDEX(B$5,0) &amp; "!$9:$9"), 0) + 2))</f>
        <v>0</v>
      </c>
      <c r="U11" s="6">
        <f t="shared" si="21"/>
        <v>0</v>
      </c>
      <c r="V11" s="6">
        <f t="shared" si="21"/>
        <v>0</v>
      </c>
      <c r="W11" s="6">
        <f t="shared" si="21"/>
        <v>0</v>
      </c>
      <c r="X11" s="6">
        <f t="shared" si="21"/>
        <v>0</v>
      </c>
      <c r="Y11" s="6">
        <f t="shared" si="21"/>
        <v>0</v>
      </c>
      <c r="Z11" s="6">
        <f t="shared" si="12"/>
        <v>0</v>
      </c>
      <c r="AA11" s="6">
        <f t="array" ref="AA11">SUM(T11:Y11*$B28:$G28)/SUM($B28:$G28)</f>
        <v>0</v>
      </c>
      <c r="AC11" s="6">
        <f t="shared" ref="AC11:AH11" si="22">IFNA(INDEX(INDIRECT(B$5 &amp; "!A:ZZ"), MATCH($AC$7, INDIRECT(INDEX(B$5,0) &amp; "!$E$3:$E$7"), 0) + 2, MATCH($A11, INDIRECT(INDEX(B$5,0) &amp; "!$9:$9"), 0) + 2))</f>
        <v>0.2</v>
      </c>
      <c r="AD11" s="6">
        <f t="shared" si="22"/>
        <v>0.07692307692</v>
      </c>
      <c r="AE11" s="6">
        <f t="shared" si="22"/>
        <v>0.2</v>
      </c>
      <c r="AF11" s="6">
        <f t="shared" si="22"/>
        <v>0.1</v>
      </c>
      <c r="AG11" s="6">
        <f t="shared" si="22"/>
        <v>0.1428571429</v>
      </c>
      <c r="AH11" s="6">
        <f t="shared" si="22"/>
        <v>0.1</v>
      </c>
      <c r="AI11" s="6">
        <f t="shared" si="14"/>
        <v>0.1366300366</v>
      </c>
      <c r="AJ11" s="6">
        <f t="array" ref="AJ11">SUM(AC11:AH11*$B28:$G28)/SUM($B28:$G28)</f>
        <v>0.1333333333</v>
      </c>
      <c r="AL11" s="6">
        <f t="shared" ref="AL11:AQ11" si="23">IFNA(INDEX(INDIRECT(B$5 &amp; "!A:ZZ"), MATCH($AL$7, INDIRECT(INDEX(B$5,0) &amp; "!$E$3:$E$7"), 0) + 2, MATCH($A11, INDIRECT(INDEX(B$5,0) &amp; "!$9:$9"), 0) + 2))</f>
        <v>0.2666666667</v>
      </c>
      <c r="AM11" s="6">
        <f t="shared" si="23"/>
        <v>0.3076923077</v>
      </c>
      <c r="AN11" s="6">
        <f t="shared" si="23"/>
        <v>0.6</v>
      </c>
      <c r="AO11" s="6">
        <f t="shared" si="23"/>
        <v>0.3</v>
      </c>
      <c r="AP11" s="6">
        <f t="shared" si="23"/>
        <v>0.1428571429</v>
      </c>
      <c r="AQ11" s="6">
        <f t="shared" si="23"/>
        <v>0.4</v>
      </c>
      <c r="AR11" s="6">
        <f t="shared" si="16"/>
        <v>0.3362026862</v>
      </c>
      <c r="AS11" s="6">
        <f t="array" ref="AS11">SUM(AL11:AQ11*$B28:$G28)/SUM($B28:$G28)</f>
        <v>0.3166666667</v>
      </c>
      <c r="AU11" s="6">
        <f t="shared" ref="AU11:AZ11" si="24">IFNA(INDEX(INDIRECT(B$5 &amp; "!A:ZZ"), MATCH($AU$7, INDIRECT(INDEX(B$5,0) &amp; "!$E$3:$E$7"), 0) + 2, MATCH($A11, INDIRECT(INDEX(B$5,0) &amp; "!$9:$9"), 0) + 2))</f>
        <v>0.4</v>
      </c>
      <c r="AV11" s="6">
        <f t="shared" si="24"/>
        <v>0.5384615385</v>
      </c>
      <c r="AW11" s="6">
        <f t="shared" si="24"/>
        <v>0.2</v>
      </c>
      <c r="AX11" s="6">
        <f t="shared" si="24"/>
        <v>0.4</v>
      </c>
      <c r="AY11" s="6">
        <f t="shared" si="24"/>
        <v>0.7142857143</v>
      </c>
      <c r="AZ11" s="6">
        <f t="shared" si="24"/>
        <v>0.3</v>
      </c>
      <c r="BA11" s="6">
        <f t="shared" si="18"/>
        <v>0.4254578755</v>
      </c>
      <c r="BB11" s="6">
        <f t="array" ref="BB11">SUM(AU11:AZ11*$B28:$G28)/SUM($B28:$G28)</f>
        <v>0.4333333333</v>
      </c>
    </row>
    <row r="12">
      <c r="A12" s="5" t="str">
        <f>IFERROR(__xludf.DUMMYFUNCTION("""COMPUTED_VALUE"""),"['need', 'half', 'sub', 'second', 'lead', '2nd']")</f>
        <v>['need', 'half', 'sub', 'second', 'lead', '2nd']</v>
      </c>
      <c r="B12" s="6">
        <f t="shared" ref="B12:G12" si="25">IFNA(INDEX(INDIRECT(B$5 &amp; "!A:ZZ"), 8, MATCH($A12, INDIRECT(INDEX(B$5,0) &amp; "!$9:$9"), 0) + 2))</f>
        <v>0.75</v>
      </c>
      <c r="C12" s="6">
        <f t="shared" si="25"/>
        <v>0.5</v>
      </c>
      <c r="D12" s="6">
        <f t="shared" si="25"/>
        <v>0.7692307692</v>
      </c>
      <c r="E12" s="6">
        <f t="shared" si="25"/>
        <v>0.75</v>
      </c>
      <c r="F12" s="6">
        <f t="shared" si="25"/>
        <v>0.7142857143</v>
      </c>
      <c r="G12" s="6">
        <f t="shared" si="25"/>
        <v>0.8333333333</v>
      </c>
      <c r="H12" s="6">
        <f t="shared" si="8"/>
        <v>0.7194749695</v>
      </c>
      <c r="I12" s="6">
        <f t="array" ref="I12">SUM(B12:G12*$B29:$G29)/SUM($B29:$G29)</f>
        <v>0.7</v>
      </c>
      <c r="J12" s="7" t="s">
        <v>22</v>
      </c>
      <c r="K12" s="6">
        <f t="shared" ref="K12:P12" si="26">IFNA(INDEX(INDIRECT(B$5 &amp; "!A:ZZ"), MATCH($K$7, INDIRECT(INDEX(B$5,0) &amp; "!$E$3:$E$7"), 0) + 2, MATCH($A12, INDIRECT(INDEX(B$5,0) &amp; "!$9:$9"), 0) + 2))</f>
        <v>0</v>
      </c>
      <c r="L12" s="6">
        <f t="shared" si="26"/>
        <v>0.2142857143</v>
      </c>
      <c r="M12" s="6">
        <f t="shared" si="26"/>
        <v>0.07692307692</v>
      </c>
      <c r="N12" s="6">
        <f t="shared" si="26"/>
        <v>0</v>
      </c>
      <c r="O12" s="6">
        <f t="shared" si="26"/>
        <v>0.2857142857</v>
      </c>
      <c r="P12" s="6">
        <f t="shared" si="26"/>
        <v>0.1666666667</v>
      </c>
      <c r="Q12" s="6">
        <f t="shared" si="10"/>
        <v>0.1239316239</v>
      </c>
      <c r="R12" s="6">
        <f t="array" ref="R12">SUM(K12:P12*$B29:$G29)/SUM($B29:$G29)</f>
        <v>0.1166666667</v>
      </c>
      <c r="S12" s="6"/>
      <c r="T12" s="6">
        <f t="shared" ref="T12:Y12" si="27">IFNA(INDEX(INDIRECT(B$5 &amp; "!A:ZZ"), MATCH($T$7, INDIRECT(INDEX(B$5,0) &amp; "!$E$3:$E$7"), 0) + 2, MATCH($A12, INDIRECT(INDEX(B$5,0) &amp; "!$9:$9"), 0) + 2))</f>
        <v>0.08333333333</v>
      </c>
      <c r="U12" s="6">
        <f t="shared" si="27"/>
        <v>0</v>
      </c>
      <c r="V12" s="6">
        <f t="shared" si="27"/>
        <v>0</v>
      </c>
      <c r="W12" s="6">
        <f t="shared" si="27"/>
        <v>0</v>
      </c>
      <c r="X12" s="6">
        <f t="shared" si="27"/>
        <v>0</v>
      </c>
      <c r="Y12" s="6">
        <f t="shared" si="27"/>
        <v>0</v>
      </c>
      <c r="Z12" s="6">
        <f t="shared" si="12"/>
        <v>0.01388888889</v>
      </c>
      <c r="AA12" s="6">
        <f t="array" ref="AA12">SUM(T12:Y12*$B29:$G29)/SUM($B29:$G29)</f>
        <v>0.01666666667</v>
      </c>
      <c r="AC12" s="6">
        <f t="shared" ref="AC12:AH12" si="28">IFNA(INDEX(INDIRECT(B$5 &amp; "!A:ZZ"), MATCH($AC$7, INDIRECT(INDEX(B$5,0) &amp; "!$E$3:$E$7"), 0) + 2, MATCH($A12, INDIRECT(INDEX(B$5,0) &amp; "!$9:$9"), 0) + 2))</f>
        <v>0.1666666667</v>
      </c>
      <c r="AD12" s="6">
        <f t="shared" si="28"/>
        <v>0.2857142857</v>
      </c>
      <c r="AE12" s="6">
        <f t="shared" si="28"/>
        <v>0.1538461538</v>
      </c>
      <c r="AF12" s="6">
        <f t="shared" si="28"/>
        <v>0.25</v>
      </c>
      <c r="AG12" s="6">
        <f t="shared" si="28"/>
        <v>0</v>
      </c>
      <c r="AH12" s="6">
        <f t="shared" si="28"/>
        <v>0</v>
      </c>
      <c r="AI12" s="6">
        <f t="shared" si="14"/>
        <v>0.1427045177</v>
      </c>
      <c r="AJ12" s="6">
        <f t="array" ref="AJ12">SUM(AC12:AH12*$B29:$G29)/SUM($B29:$G29)</f>
        <v>0.1666666667</v>
      </c>
      <c r="AL12" s="6">
        <f t="shared" ref="AL12:AQ12" si="29">IFNA(INDEX(INDIRECT(B$5 &amp; "!A:ZZ"), MATCH($AL$7, INDIRECT(INDEX(B$5,0) &amp; "!$E$3:$E$7"), 0) + 2, MATCH($A12, INDIRECT(INDEX(B$5,0) &amp; "!$9:$9"), 0) + 2))</f>
        <v>0.4166666667</v>
      </c>
      <c r="AM12" s="6">
        <f t="shared" si="29"/>
        <v>0.3571428571</v>
      </c>
      <c r="AN12" s="6">
        <f t="shared" si="29"/>
        <v>0.5384615385</v>
      </c>
      <c r="AO12" s="6">
        <f t="shared" si="29"/>
        <v>0.5</v>
      </c>
      <c r="AP12" s="6">
        <f t="shared" si="29"/>
        <v>0.7142857143</v>
      </c>
      <c r="AQ12" s="6">
        <f t="shared" si="29"/>
        <v>0.6666666667</v>
      </c>
      <c r="AR12" s="6">
        <f t="shared" si="16"/>
        <v>0.5322039072</v>
      </c>
      <c r="AS12" s="6">
        <f t="array" ref="AS12">SUM(AL12:AQ12*$B29:$G29)/SUM($B29:$G29)</f>
        <v>0.5</v>
      </c>
      <c r="AU12" s="6">
        <f t="shared" ref="AU12:AZ12" si="30">IFNA(INDEX(INDIRECT(B$5 &amp; "!A:ZZ"), MATCH($AU$7, INDIRECT(INDEX(B$5,0) &amp; "!$E$3:$E$7"), 0) + 2, MATCH($A12, INDIRECT(INDEX(B$5,0) &amp; "!$9:$9"), 0) + 2))</f>
        <v>0.3333333333</v>
      </c>
      <c r="AV12" s="6">
        <f t="shared" si="30"/>
        <v>0.1428571429</v>
      </c>
      <c r="AW12" s="6">
        <f t="shared" si="30"/>
        <v>0.2307692308</v>
      </c>
      <c r="AX12" s="6">
        <f t="shared" si="30"/>
        <v>0.25</v>
      </c>
      <c r="AY12" s="6">
        <f t="shared" si="30"/>
        <v>0</v>
      </c>
      <c r="AZ12" s="6">
        <f t="shared" si="30"/>
        <v>0.1666666667</v>
      </c>
      <c r="BA12" s="6">
        <f t="shared" si="18"/>
        <v>0.1872710623</v>
      </c>
      <c r="BB12" s="6">
        <f t="array" ref="BB12">SUM(AU12:AZ12*$B29:$G29)/SUM($B29:$G29)</f>
        <v>0.2</v>
      </c>
    </row>
    <row r="13">
      <c r="A13" s="5" t="str">
        <f>IFERROR(__xludf.DUMMYFUNCTION("""COMPUTED_VALUE"""),"['touch', 'cross', 'ball', 'pass']")</f>
        <v>['touch', 'cross', 'ball', 'pass']</v>
      </c>
      <c r="B13" s="6">
        <f t="shared" ref="B13:G13" si="31">IFNA(INDEX(INDIRECT(B$5 &amp; "!A:ZZ"), 8, MATCH($A13, INDIRECT(INDEX(B$5,0) &amp; "!$9:$9"), 0) + 2))</f>
        <v>0.85</v>
      </c>
      <c r="C13" s="6">
        <f t="shared" si="31"/>
        <v>0.9090909091</v>
      </c>
      <c r="D13" s="6">
        <f t="shared" si="31"/>
        <v>1</v>
      </c>
      <c r="E13" s="6">
        <f t="shared" si="31"/>
        <v>1</v>
      </c>
      <c r="F13" s="6">
        <f t="shared" si="31"/>
        <v>1</v>
      </c>
      <c r="G13" s="6">
        <f t="shared" si="31"/>
        <v>0.8571428571</v>
      </c>
      <c r="H13" s="6">
        <f t="shared" si="8"/>
        <v>0.936038961</v>
      </c>
      <c r="I13" s="6">
        <f t="array" ref="I13">SUM(B13:G13*$B30:$G30)/SUM($B30:$G30)</f>
        <v>0.9117647059</v>
      </c>
      <c r="K13" s="6">
        <f t="shared" ref="K13:P13" si="32">IFNA(INDEX(INDIRECT(B$5 &amp; "!A:ZZ"), MATCH($K$7, INDIRECT(INDEX(B$5,0) &amp; "!$E$3:$E$7"), 0) + 2, MATCH($A13, INDIRECT(INDEX(B$5,0) &amp; "!$9:$9"), 0) + 2))</f>
        <v>0</v>
      </c>
      <c r="L13" s="6">
        <f t="shared" si="32"/>
        <v>0.09090909091</v>
      </c>
      <c r="M13" s="6">
        <f t="shared" si="32"/>
        <v>0</v>
      </c>
      <c r="N13" s="6">
        <f t="shared" si="32"/>
        <v>0</v>
      </c>
      <c r="O13" s="6">
        <f t="shared" si="32"/>
        <v>0</v>
      </c>
      <c r="P13" s="6">
        <f t="shared" si="32"/>
        <v>0</v>
      </c>
      <c r="Q13" s="6">
        <f t="shared" si="10"/>
        <v>0.01515151515</v>
      </c>
      <c r="R13" s="6">
        <f t="array" ref="R13">SUM(K13:P13*$B30:$G30)/SUM($B30:$G30)</f>
        <v>0.01470588235</v>
      </c>
      <c r="S13" s="6"/>
      <c r="T13" s="6">
        <f t="shared" ref="T13:Y13" si="33">IFNA(INDEX(INDIRECT(B$5 &amp; "!A:ZZ"), MATCH($T$7, INDIRECT(INDEX(B$5,0) &amp; "!$E$3:$E$7"), 0) + 2, MATCH($A13, INDIRECT(INDEX(B$5,0) &amp; "!$9:$9"), 0) + 2))</f>
        <v>0.15</v>
      </c>
      <c r="U13" s="6">
        <f t="shared" si="33"/>
        <v>0</v>
      </c>
      <c r="V13" s="6">
        <f t="shared" si="33"/>
        <v>0</v>
      </c>
      <c r="W13" s="6">
        <f t="shared" si="33"/>
        <v>0</v>
      </c>
      <c r="X13" s="6">
        <f t="shared" si="33"/>
        <v>0</v>
      </c>
      <c r="Y13" s="6">
        <f t="shared" si="33"/>
        <v>0.1428571429</v>
      </c>
      <c r="Z13" s="6">
        <f t="shared" si="12"/>
        <v>0.04880952381</v>
      </c>
      <c r="AA13" s="6">
        <f t="array" ref="AA13">SUM(T13:Y13*$B30:$G30)/SUM($B30:$G30)</f>
        <v>0.07352941176</v>
      </c>
      <c r="AC13" s="6">
        <f t="shared" ref="AC13:AH13" si="34">IFNA(INDEX(INDIRECT(B$5 &amp; "!A:ZZ"), MATCH($AC$7, INDIRECT(INDEX(B$5,0) &amp; "!$E$3:$E$7"), 0) + 2, MATCH($A13, INDIRECT(INDEX(B$5,0) &amp; "!$9:$9"), 0) + 2))</f>
        <v>0</v>
      </c>
      <c r="AD13" s="6">
        <f t="shared" si="34"/>
        <v>0</v>
      </c>
      <c r="AE13" s="6">
        <f t="shared" si="34"/>
        <v>0</v>
      </c>
      <c r="AF13" s="6">
        <f t="shared" si="34"/>
        <v>0</v>
      </c>
      <c r="AG13" s="6">
        <f t="shared" si="34"/>
        <v>0</v>
      </c>
      <c r="AH13" s="6">
        <f t="shared" si="34"/>
        <v>0</v>
      </c>
      <c r="AI13" s="6">
        <f t="shared" si="14"/>
        <v>0</v>
      </c>
      <c r="AJ13" s="6">
        <f t="array" ref="AJ13">SUM(AC13:AH13*$B30:$G30)/SUM($B30:$G30)</f>
        <v>0</v>
      </c>
      <c r="AL13" s="6">
        <f t="shared" ref="AL13:AQ13" si="35">IFNA(INDEX(INDIRECT(B$5 &amp; "!A:ZZ"), MATCH($AL$7, INDIRECT(INDEX(B$5,0) &amp; "!$E$3:$E$7"), 0) + 2, MATCH($A13, INDIRECT(INDEX(B$5,0) &amp; "!$9:$9"), 0) + 2))</f>
        <v>0.25</v>
      </c>
      <c r="AM13" s="6">
        <f t="shared" si="35"/>
        <v>0.1818181818</v>
      </c>
      <c r="AN13" s="6">
        <f t="shared" si="35"/>
        <v>0.1818181818</v>
      </c>
      <c r="AO13" s="6">
        <f t="shared" si="35"/>
        <v>0.1</v>
      </c>
      <c r="AP13" s="6">
        <f t="shared" si="35"/>
        <v>0.5</v>
      </c>
      <c r="AQ13" s="6">
        <f t="shared" si="35"/>
        <v>0.2142857143</v>
      </c>
      <c r="AR13" s="6">
        <f t="shared" si="16"/>
        <v>0.237987013</v>
      </c>
      <c r="AS13" s="6">
        <f t="array" ref="AS13">SUM(AL13:AQ13*$B30:$G30)/SUM($B30:$G30)</f>
        <v>0.2058823529</v>
      </c>
      <c r="AU13" s="6">
        <f t="shared" ref="AU13:AZ13" si="36">IFNA(INDEX(INDIRECT(B$5 &amp; "!A:ZZ"), MATCH($AU$7, INDIRECT(INDEX(B$5,0) &amp; "!$E$3:$E$7"), 0) + 2, MATCH($A13, INDIRECT(INDEX(B$5,0) &amp; "!$9:$9"), 0) + 2))</f>
        <v>0.6</v>
      </c>
      <c r="AV13" s="6">
        <f t="shared" si="36"/>
        <v>0.7272727273</v>
      </c>
      <c r="AW13" s="6">
        <f t="shared" si="36"/>
        <v>0.8181818182</v>
      </c>
      <c r="AX13" s="6">
        <f t="shared" si="36"/>
        <v>0.9</v>
      </c>
      <c r="AY13" s="6">
        <f t="shared" si="36"/>
        <v>0.5</v>
      </c>
      <c r="AZ13" s="6">
        <f t="shared" si="36"/>
        <v>0.6428571429</v>
      </c>
      <c r="BA13" s="6">
        <f t="shared" si="18"/>
        <v>0.6980519481</v>
      </c>
      <c r="BB13" s="6">
        <f t="array" ref="BB13">SUM(AU13:AZ13*$B30:$G30)/SUM($B30:$G30)</f>
        <v>0.7058823529</v>
      </c>
    </row>
    <row r="14">
      <c r="A14" s="5" t="str">
        <f>IFERROR(__xludf.DUMMYFUNCTION("""COMPUTED_VALUE"""),"['foul', 'refere', 'book', 'decis', 'var', 'given', 'pen', 'dive', 'ref', 'penalti']")</f>
        <v>['foul', 'refere', 'book', 'decis', 'var', 'given', 'pen', 'dive', 'ref', 'penalti']</v>
      </c>
      <c r="B14" s="6">
        <f t="shared" ref="B14:G14" si="37">IFNA(INDEX(INDIRECT(B$5 &amp; "!A:ZZ"), 8, MATCH($A14, INDIRECT(INDEX(B$5,0) &amp; "!$9:$9"), 0) + 2))</f>
        <v>0.7777777778</v>
      </c>
      <c r="C14" s="6">
        <f t="shared" si="37"/>
        <v>0.6666666667</v>
      </c>
      <c r="D14" s="6">
        <f t="shared" si="37"/>
        <v>1</v>
      </c>
      <c r="E14" s="6">
        <f t="shared" si="37"/>
        <v>0.8</v>
      </c>
      <c r="F14" s="6">
        <f t="shared" si="37"/>
        <v>0.2</v>
      </c>
      <c r="G14" s="6">
        <f t="shared" si="37"/>
        <v>1</v>
      </c>
      <c r="H14" s="6">
        <f t="shared" si="8"/>
        <v>0.7407407407</v>
      </c>
      <c r="I14" s="6">
        <f t="array" ref="I14">SUM(B14:G14*$B31:$G31)/SUM($B31:$G31)</f>
        <v>0.7</v>
      </c>
      <c r="J14" s="6"/>
      <c r="K14" s="6">
        <f t="shared" ref="K14:P14" si="38">IFNA(INDEX(INDIRECT(B$5 &amp; "!A:ZZ"), MATCH($K$7, INDIRECT(INDEX(B$5,0) &amp; "!$E$3:$E$7"), 0) + 2, MATCH($A14, INDIRECT(INDEX(B$5,0) &amp; "!$9:$9"), 0) + 2))</f>
        <v>0.1111111111</v>
      </c>
      <c r="L14" s="6">
        <f t="shared" si="38"/>
        <v>0</v>
      </c>
      <c r="M14" s="6">
        <f t="shared" si="38"/>
        <v>0</v>
      </c>
      <c r="N14" s="6">
        <f t="shared" si="38"/>
        <v>0.1</v>
      </c>
      <c r="O14" s="6">
        <f t="shared" si="38"/>
        <v>0</v>
      </c>
      <c r="P14" s="6">
        <f t="shared" si="38"/>
        <v>0</v>
      </c>
      <c r="Q14" s="6">
        <f t="shared" si="10"/>
        <v>0.03518518519</v>
      </c>
      <c r="R14" s="6">
        <f t="array" ref="R14">SUM(K14:P14*$B31:$G31)/SUM($B31:$G31)</f>
        <v>0.06666666667</v>
      </c>
      <c r="S14" s="6"/>
      <c r="T14" s="6">
        <f t="shared" ref="T14:Y14" si="39">IFNA(INDEX(INDIRECT(B$5 &amp; "!A:ZZ"), MATCH($T$7, INDIRECT(INDEX(B$5,0) &amp; "!$E$3:$E$7"), 0) + 2, MATCH($A14, INDIRECT(INDEX(B$5,0) &amp; "!$9:$9"), 0) + 2))</f>
        <v>0.1111111111</v>
      </c>
      <c r="U14" s="6">
        <f t="shared" si="39"/>
        <v>0</v>
      </c>
      <c r="V14" s="6">
        <f t="shared" si="39"/>
        <v>0</v>
      </c>
      <c r="W14" s="6">
        <f t="shared" si="39"/>
        <v>0.1</v>
      </c>
      <c r="X14" s="6">
        <f t="shared" si="39"/>
        <v>0.2</v>
      </c>
      <c r="Y14" s="6">
        <f t="shared" si="39"/>
        <v>0</v>
      </c>
      <c r="Z14" s="6">
        <f t="shared" si="12"/>
        <v>0.06851851852</v>
      </c>
      <c r="AA14" s="6">
        <f t="array" ref="AA14">SUM(T14:Y14*$B31:$G31)/SUM($B31:$G31)</f>
        <v>0.1</v>
      </c>
      <c r="AC14" s="6">
        <f t="shared" ref="AC14:AH14" si="40">IFNA(INDEX(INDIRECT(B$5 &amp; "!A:ZZ"), MATCH($AC$7, INDIRECT(INDEX(B$5,0) &amp; "!$E$3:$E$7"), 0) + 2, MATCH($A14, INDIRECT(INDEX(B$5,0) &amp; "!$9:$9"), 0) + 2))</f>
        <v>0</v>
      </c>
      <c r="AD14" s="6">
        <f t="shared" si="40"/>
        <v>0.3333333333</v>
      </c>
      <c r="AE14" s="6">
        <f t="shared" si="40"/>
        <v>0</v>
      </c>
      <c r="AF14" s="6">
        <f t="shared" si="40"/>
        <v>0</v>
      </c>
      <c r="AG14" s="6">
        <f t="shared" si="40"/>
        <v>0.6</v>
      </c>
      <c r="AH14" s="6">
        <f t="shared" si="40"/>
        <v>0</v>
      </c>
      <c r="AI14" s="6">
        <f t="shared" si="14"/>
        <v>0.1555555556</v>
      </c>
      <c r="AJ14" s="6">
        <f t="array" ref="AJ14">SUM(AC14:AH14*$B31:$G31)/SUM($B31:$G31)</f>
        <v>0.1333333333</v>
      </c>
      <c r="AL14" s="6">
        <f t="shared" ref="AL14:AQ14" si="41">IFNA(INDEX(INDIRECT(B$5 &amp; "!A:ZZ"), MATCH($AL$7, INDIRECT(INDEX(B$5,0) &amp; "!$E$3:$E$7"), 0) + 2, MATCH($A14, INDIRECT(INDEX(B$5,0) &amp; "!$9:$9"), 0) + 2))</f>
        <v>0.3333333333</v>
      </c>
      <c r="AM14" s="6">
        <f t="shared" si="41"/>
        <v>0</v>
      </c>
      <c r="AN14" s="6">
        <f t="shared" si="41"/>
        <v>1</v>
      </c>
      <c r="AO14" s="6">
        <f t="shared" si="41"/>
        <v>0.2</v>
      </c>
      <c r="AP14" s="6">
        <f t="shared" si="41"/>
        <v>0</v>
      </c>
      <c r="AQ14" s="6">
        <f t="shared" si="41"/>
        <v>0</v>
      </c>
      <c r="AR14" s="6">
        <f t="shared" si="16"/>
        <v>0.2555555556</v>
      </c>
      <c r="AS14" s="6">
        <f t="array" ref="AS14">SUM(AL14:AQ14*$B31:$G31)/SUM($B31:$G31)</f>
        <v>0.2333333333</v>
      </c>
      <c r="AU14" s="6">
        <f t="shared" ref="AU14:AZ14" si="42">IFNA(INDEX(INDIRECT(B$5 &amp; "!A:ZZ"), MATCH($AU$7, INDIRECT(INDEX(B$5,0) &amp; "!$E$3:$E$7"), 0) + 2, MATCH($A14, INDIRECT(INDEX(B$5,0) &amp; "!$9:$9"), 0) + 2))</f>
        <v>0.4444444444</v>
      </c>
      <c r="AV14" s="6">
        <f t="shared" si="42"/>
        <v>0.6666666667</v>
      </c>
      <c r="AW14" s="6">
        <f t="shared" si="42"/>
        <v>0</v>
      </c>
      <c r="AX14" s="6">
        <f t="shared" si="42"/>
        <v>0.6</v>
      </c>
      <c r="AY14" s="6">
        <f t="shared" si="42"/>
        <v>0.2</v>
      </c>
      <c r="AZ14" s="6">
        <f t="shared" si="42"/>
        <v>1</v>
      </c>
      <c r="BA14" s="6">
        <f t="shared" si="18"/>
        <v>0.4851851852</v>
      </c>
      <c r="BB14" s="6">
        <f t="array" ref="BB14">SUM(AU14:AZ14*$B31:$G31)/SUM($B31:$G31)</f>
        <v>0.4666666667</v>
      </c>
    </row>
    <row r="15">
      <c r="A15" s="5" t="str">
        <f>IFERROR(__xludf.DUMMYFUNCTION("""COMPUTED_VALUE"""),"['tackl', 'dribbl', 'yellow', 'red', 'card']")</f>
        <v>['tackl', 'dribbl', 'yellow', 'red', 'card']</v>
      </c>
      <c r="B15" s="6">
        <f t="shared" ref="B15:G15" si="43">IFNA(INDEX(INDIRECT(B$5 &amp; "!A:ZZ"), 8, MATCH($A15, INDIRECT(INDEX(B$5,0) &amp; "!$9:$9"), 0) + 2))</f>
        <v>1</v>
      </c>
      <c r="C15" s="6">
        <f t="shared" si="43"/>
        <v>1</v>
      </c>
      <c r="D15" s="6">
        <f t="shared" si="43"/>
        <v>1</v>
      </c>
      <c r="E15" s="6">
        <f t="shared" si="43"/>
        <v>0.8571428571</v>
      </c>
      <c r="F15" s="6" t="str">
        <f t="shared" si="43"/>
        <v/>
      </c>
      <c r="G15" s="6">
        <f t="shared" si="43"/>
        <v>0.6666666667</v>
      </c>
      <c r="H15" s="6">
        <f t="shared" si="8"/>
        <v>0.9047619048</v>
      </c>
      <c r="I15" s="6">
        <f t="array" ref="I15">SUM(B15:G15*$B32:$G32)/SUM($B32:$G32)</f>
        <v>0.8823529412</v>
      </c>
      <c r="J15" s="6"/>
      <c r="K15" s="6">
        <f t="shared" ref="K15:P15" si="44">IFNA(INDEX(INDIRECT(B$5 &amp; "!A:ZZ"), MATCH($K$7, INDIRECT(INDEX(B$5,0) &amp; "!$E$3:$E$7"), 0) + 2, MATCH($A15, INDIRECT(INDEX(B$5,0) &amp; "!$9:$9"), 0) + 2))</f>
        <v>0</v>
      </c>
      <c r="L15" s="6">
        <f t="shared" si="44"/>
        <v>0</v>
      </c>
      <c r="M15" s="6">
        <f t="shared" si="44"/>
        <v>0</v>
      </c>
      <c r="N15" s="6">
        <f t="shared" si="44"/>
        <v>0</v>
      </c>
      <c r="O15" s="6" t="str">
        <f t="shared" si="44"/>
        <v/>
      </c>
      <c r="P15" s="6">
        <f t="shared" si="44"/>
        <v>0</v>
      </c>
      <c r="Q15" s="6">
        <f t="shared" si="10"/>
        <v>0</v>
      </c>
      <c r="R15" s="6">
        <f t="array" ref="R15">SUM(K15:P15*$B32:$G32)/SUM($B32:$G32)</f>
        <v>0</v>
      </c>
      <c r="S15" s="6"/>
      <c r="T15" s="6">
        <f t="shared" ref="T15:Y15" si="45">IFNA(INDEX(INDIRECT(B$5 &amp; "!A:ZZ"), MATCH($T$7, INDIRECT(INDEX(B$5,0) &amp; "!$E$3:$E$7"), 0) + 2, MATCH($A15, INDIRECT(INDEX(B$5,0) &amp; "!$9:$9"), 0) + 2))</f>
        <v>0</v>
      </c>
      <c r="U15" s="6">
        <f t="shared" si="45"/>
        <v>0</v>
      </c>
      <c r="V15" s="6">
        <f t="shared" si="45"/>
        <v>0</v>
      </c>
      <c r="W15" s="6">
        <f t="shared" si="45"/>
        <v>0.1428571429</v>
      </c>
      <c r="X15" s="6" t="str">
        <f t="shared" si="45"/>
        <v/>
      </c>
      <c r="Y15" s="6">
        <f t="shared" si="45"/>
        <v>0</v>
      </c>
      <c r="Z15" s="6">
        <f t="shared" si="12"/>
        <v>0.02380952381</v>
      </c>
      <c r="AA15" s="6">
        <f t="array" ref="AA15">SUM(T15:Y15*$B32:$G32)/SUM($B32:$G32)</f>
        <v>0.05882352941</v>
      </c>
      <c r="AC15" s="6">
        <f t="shared" ref="AC15:AH15" si="46">IFNA(INDEX(INDIRECT(B$5 &amp; "!A:ZZ"), MATCH($AC$7, INDIRECT(INDEX(B$5,0) &amp; "!$E$3:$E$7"), 0) + 2, MATCH($A15, INDIRECT(INDEX(B$5,0) &amp; "!$9:$9"), 0) + 2))</f>
        <v>0</v>
      </c>
      <c r="AD15" s="6">
        <f t="shared" si="46"/>
        <v>0</v>
      </c>
      <c r="AE15" s="6">
        <f t="shared" si="46"/>
        <v>0</v>
      </c>
      <c r="AF15" s="6">
        <f t="shared" si="46"/>
        <v>0</v>
      </c>
      <c r="AG15" s="6" t="str">
        <f t="shared" si="46"/>
        <v/>
      </c>
      <c r="AH15" s="6">
        <f t="shared" si="46"/>
        <v>0.3333333333</v>
      </c>
      <c r="AI15" s="6">
        <f t="shared" si="14"/>
        <v>0.05555555556</v>
      </c>
      <c r="AJ15" s="6">
        <f t="array" ref="AJ15">SUM(AC15:AH15*$B32:$G32)/SUM($B32:$G32)</f>
        <v>0.05882352941</v>
      </c>
      <c r="AL15" s="6">
        <f t="shared" ref="AL15:AQ15" si="47">IFNA(INDEX(INDIRECT(B$5 &amp; "!A:ZZ"), MATCH($AL$7, INDIRECT(INDEX(B$5,0) &amp; "!$E$3:$E$7"), 0) + 2, MATCH($A15, INDIRECT(INDEX(B$5,0) &amp; "!$9:$9"), 0) + 2))</f>
        <v>0.6666666667</v>
      </c>
      <c r="AM15" s="6">
        <f t="shared" si="47"/>
        <v>0</v>
      </c>
      <c r="AN15" s="6">
        <f t="shared" si="47"/>
        <v>1</v>
      </c>
      <c r="AO15" s="6">
        <f t="shared" si="47"/>
        <v>0.5714285714</v>
      </c>
      <c r="AP15" s="6" t="str">
        <f t="shared" si="47"/>
        <v/>
      </c>
      <c r="AQ15" s="6">
        <f t="shared" si="47"/>
        <v>0.3333333333</v>
      </c>
      <c r="AR15" s="6">
        <f t="shared" si="16"/>
        <v>0.4285714286</v>
      </c>
      <c r="AS15" s="6">
        <f t="array" ref="AS15">SUM(AL15:AQ15*$B32:$G32)/SUM($B32:$G32)</f>
        <v>0.5882352941</v>
      </c>
      <c r="AU15" s="6">
        <f t="shared" ref="AU15:AZ15" si="48">IFNA(INDEX(INDIRECT(B$5 &amp; "!A:ZZ"), MATCH($AU$7, INDIRECT(INDEX(B$5,0) &amp; "!$E$3:$E$7"), 0) + 2, MATCH($A15, INDIRECT(INDEX(B$5,0) &amp; "!$9:$9"), 0) + 2))</f>
        <v>0.3333333333</v>
      </c>
      <c r="AV15" s="6">
        <f t="shared" si="48"/>
        <v>1</v>
      </c>
      <c r="AW15" s="6">
        <f t="shared" si="48"/>
        <v>0</v>
      </c>
      <c r="AX15" s="6">
        <f t="shared" si="48"/>
        <v>0.2857142857</v>
      </c>
      <c r="AY15" s="6" t="str">
        <f t="shared" si="48"/>
        <v/>
      </c>
      <c r="AZ15" s="6">
        <f t="shared" si="48"/>
        <v>0.3333333333</v>
      </c>
      <c r="BA15" s="6">
        <f t="shared" si="18"/>
        <v>0.3253968254</v>
      </c>
      <c r="BB15" s="6">
        <f t="array" ref="BB15">SUM(AU15:AZ15*$B32:$G32)/SUM($B32:$G32)</f>
        <v>0.2941176471</v>
      </c>
    </row>
    <row r="16">
      <c r="A16" s="5" t="str">
        <f>IFERROR(__xludf.DUMMYFUNCTION("""COMPUTED_VALUE"""),"['gol', 'stream', 'onlin', 'free', 'reddit', 'link', 'EXCLUDED-manchest', 'ff', 'live']")</f>
        <v>['gol', 'stream', 'onlin', 'free', 'reddit', 'link', 'EXCLUDED-manchest', 'ff', 'live']</v>
      </c>
      <c r="B16" s="6">
        <f t="shared" ref="B16:G16" si="49">IFNA(INDEX(INDIRECT(B$5 &amp; "!A:ZZ"), 8, MATCH($A16, INDIRECT(INDEX(B$5,0) &amp; "!$9:$9"), 0) + 2))</f>
        <v>0.7142857143</v>
      </c>
      <c r="C16" s="6">
        <f t="shared" si="49"/>
        <v>1</v>
      </c>
      <c r="D16" s="6">
        <f t="shared" si="49"/>
        <v>1</v>
      </c>
      <c r="E16" s="6">
        <f t="shared" si="49"/>
        <v>0.8</v>
      </c>
      <c r="F16" s="6">
        <f t="shared" si="49"/>
        <v>1</v>
      </c>
      <c r="G16" s="6">
        <f t="shared" si="49"/>
        <v>0.8</v>
      </c>
      <c r="H16" s="6">
        <f t="shared" si="8"/>
        <v>0.8857142857</v>
      </c>
      <c r="I16" s="6">
        <f t="array" ref="I16">SUM(B16:G16*$B33:$G33)/SUM($B33:$G33)</f>
        <v>0.8571428571</v>
      </c>
      <c r="J16" s="7" t="s">
        <v>22</v>
      </c>
      <c r="K16" s="6">
        <f t="shared" ref="K16:P16" si="50">IFNA(INDEX(INDIRECT(B$5 &amp; "!A:ZZ"), MATCH($K$7, INDIRECT(INDEX(B$5,0) &amp; "!$E$3:$E$7"), 0) + 2, MATCH($A16, INDIRECT(INDEX(B$5,0) &amp; "!$9:$9"), 0) + 2))</f>
        <v>0</v>
      </c>
      <c r="L16" s="6">
        <f t="shared" si="50"/>
        <v>0</v>
      </c>
      <c r="M16" s="6">
        <f t="shared" si="50"/>
        <v>0</v>
      </c>
      <c r="N16" s="6">
        <f t="shared" si="50"/>
        <v>0</v>
      </c>
      <c r="O16" s="6">
        <f t="shared" si="50"/>
        <v>0</v>
      </c>
      <c r="P16" s="6">
        <f t="shared" si="50"/>
        <v>0</v>
      </c>
      <c r="Q16" s="6">
        <f t="shared" si="10"/>
        <v>0</v>
      </c>
      <c r="R16" s="6">
        <f t="array" ref="R16">SUM(K16:P16*$B33:$G33)/SUM($B33:$G33)</f>
        <v>0</v>
      </c>
      <c r="S16" s="6"/>
      <c r="T16" s="6">
        <f t="shared" ref="T16:Y16" si="51">IFNA(INDEX(INDIRECT(B$5 &amp; "!A:ZZ"), MATCH($T$7, INDIRECT(INDEX(B$5,0) &amp; "!$E$3:$E$7"), 0) + 2, MATCH($A16, INDIRECT(INDEX(B$5,0) &amp; "!$9:$9"), 0) + 2))</f>
        <v>0.1428571429</v>
      </c>
      <c r="U16" s="6">
        <f t="shared" si="51"/>
        <v>0</v>
      </c>
      <c r="V16" s="6">
        <f t="shared" si="51"/>
        <v>0</v>
      </c>
      <c r="W16" s="6">
        <f t="shared" si="51"/>
        <v>0.2</v>
      </c>
      <c r="X16" s="6">
        <f t="shared" si="51"/>
        <v>0</v>
      </c>
      <c r="Y16" s="6">
        <f t="shared" si="51"/>
        <v>0</v>
      </c>
      <c r="Z16" s="6">
        <f t="shared" si="12"/>
        <v>0.05714285714</v>
      </c>
      <c r="AA16" s="6">
        <f t="array" ref="AA16">SUM(T16:Y16*$B33:$G33)/SUM($B33:$G33)</f>
        <v>0.07142857143</v>
      </c>
      <c r="AC16" s="6">
        <f t="shared" ref="AC16:AH16" si="52">IFNA(INDEX(INDIRECT(B$5 &amp; "!A:ZZ"), MATCH($AC$7, INDIRECT(INDEX(B$5,0) &amp; "!$E$3:$E$7"), 0) + 2, MATCH($A16, INDIRECT(INDEX(B$5,0) &amp; "!$9:$9"), 0) + 2))</f>
        <v>0.1428571429</v>
      </c>
      <c r="AD16" s="6">
        <f t="shared" si="52"/>
        <v>0</v>
      </c>
      <c r="AE16" s="6">
        <f t="shared" si="52"/>
        <v>0</v>
      </c>
      <c r="AF16" s="6">
        <f t="shared" si="52"/>
        <v>0</v>
      </c>
      <c r="AG16" s="6">
        <f t="shared" si="52"/>
        <v>0</v>
      </c>
      <c r="AH16" s="6">
        <f t="shared" si="52"/>
        <v>0.2</v>
      </c>
      <c r="AI16" s="6">
        <f t="shared" si="14"/>
        <v>0.05714285714</v>
      </c>
      <c r="AJ16" s="6">
        <f t="array" ref="AJ16">SUM(AC16:AH16*$B33:$G33)/SUM($B33:$G33)</f>
        <v>0.07142857143</v>
      </c>
      <c r="AL16" s="6">
        <f t="shared" ref="AL16:AQ16" si="53">IFNA(INDEX(INDIRECT(B$5 &amp; "!A:ZZ"), MATCH($AL$7, INDIRECT(INDEX(B$5,0) &amp; "!$E$3:$E$7"), 0) + 2, MATCH($A16, INDIRECT(INDEX(B$5,0) &amp; "!$9:$9"), 0) + 2))</f>
        <v>0.4285714286</v>
      </c>
      <c r="AM16" s="6">
        <f t="shared" si="53"/>
        <v>0.75</v>
      </c>
      <c r="AN16" s="6">
        <f t="shared" si="53"/>
        <v>0.8</v>
      </c>
      <c r="AO16" s="6">
        <f t="shared" si="53"/>
        <v>0.6</v>
      </c>
      <c r="AP16" s="6">
        <f t="shared" si="53"/>
        <v>1</v>
      </c>
      <c r="AQ16" s="6">
        <f t="shared" si="53"/>
        <v>0.4</v>
      </c>
      <c r="AR16" s="6">
        <f t="shared" si="16"/>
        <v>0.6630952381</v>
      </c>
      <c r="AS16" s="6">
        <f t="array" ref="AS16">SUM(AL16:AQ16*$B33:$G33)/SUM($B33:$G33)</f>
        <v>0.6071428571</v>
      </c>
      <c r="AU16" s="6">
        <f t="shared" ref="AU16:AZ16" si="54">IFNA(INDEX(INDIRECT(B$5 &amp; "!A:ZZ"), MATCH($AU$7, INDIRECT(INDEX(B$5,0) &amp; "!$E$3:$E$7"), 0) + 2, MATCH($A16, INDIRECT(INDEX(B$5,0) &amp; "!$9:$9"), 0) + 2))</f>
        <v>0.2857142857</v>
      </c>
      <c r="AV16" s="6">
        <f t="shared" si="54"/>
        <v>0.25</v>
      </c>
      <c r="AW16" s="6">
        <f t="shared" si="54"/>
        <v>0.2</v>
      </c>
      <c r="AX16" s="6">
        <f t="shared" si="54"/>
        <v>0.2</v>
      </c>
      <c r="AY16" s="6">
        <f t="shared" si="54"/>
        <v>0</v>
      </c>
      <c r="AZ16" s="6">
        <f t="shared" si="54"/>
        <v>0.4</v>
      </c>
      <c r="BA16" s="6">
        <f t="shared" si="18"/>
        <v>0.2226190476</v>
      </c>
      <c r="BB16" s="6">
        <f t="array" ref="BB16">SUM(AU16:AZ16*$B33:$G33)/SUM($B33:$G33)</f>
        <v>0.25</v>
      </c>
    </row>
    <row r="17">
      <c r="A17" s="5" t="str">
        <f>IFERROR(__xludf.DUMMYFUNCTION("""COMPUTED_VALUE"""),"['deflect', 'kick', 'corner', 'shot', 'net']")</f>
        <v>['deflect', 'kick', 'corner', 'shot', 'net']</v>
      </c>
      <c r="B17" s="6">
        <f t="shared" ref="B17:G17" si="55">IFNA(INDEX(INDIRECT(B$5 &amp; "!A:ZZ"), 8, MATCH($A17, INDIRECT(INDEX(B$5,0) &amp; "!$9:$9"), 0) + 2))</f>
        <v>0.7142857143</v>
      </c>
      <c r="C17" s="6">
        <f t="shared" si="55"/>
        <v>0.8571428571</v>
      </c>
      <c r="D17" s="6">
        <f t="shared" si="55"/>
        <v>1</v>
      </c>
      <c r="E17" s="6">
        <f t="shared" si="55"/>
        <v>1</v>
      </c>
      <c r="F17" s="6">
        <f t="shared" si="55"/>
        <v>1</v>
      </c>
      <c r="G17" s="6">
        <f t="shared" si="55"/>
        <v>1</v>
      </c>
      <c r="H17" s="6">
        <f t="shared" si="8"/>
        <v>0.9285714286</v>
      </c>
      <c r="I17" s="6">
        <f t="array" ref="I17">SUM(B17:G17*$B34:$G34)/SUM($B34:$G34)</f>
        <v>0.8888888889</v>
      </c>
      <c r="J17" s="6"/>
      <c r="K17" s="6">
        <f t="shared" ref="K17:P17" si="56">IFNA(INDEX(INDIRECT(B$5 &amp; "!A:ZZ"), MATCH($K$7, INDIRECT(INDEX(B$5,0) &amp; "!$E$3:$E$7"), 0) + 2, MATCH($A17, INDIRECT(INDEX(B$5,0) &amp; "!$9:$9"), 0) + 2))</f>
        <v>0.1428571429</v>
      </c>
      <c r="L17" s="6">
        <f t="shared" si="56"/>
        <v>0.1428571429</v>
      </c>
      <c r="M17" s="6">
        <f t="shared" si="56"/>
        <v>0</v>
      </c>
      <c r="N17" s="6">
        <f t="shared" si="56"/>
        <v>0</v>
      </c>
      <c r="O17" s="6">
        <f t="shared" si="56"/>
        <v>0</v>
      </c>
      <c r="P17" s="6">
        <f t="shared" si="56"/>
        <v>0</v>
      </c>
      <c r="Q17" s="6">
        <f t="shared" si="10"/>
        <v>0.04761904762</v>
      </c>
      <c r="R17" s="6">
        <f t="array" ref="R17">SUM(K17:P17*$B34:$G34)/SUM($B34:$G34)</f>
        <v>0.07407407407</v>
      </c>
      <c r="S17" s="6"/>
      <c r="T17" s="6">
        <f t="shared" ref="T17:Y17" si="57">IFNA(INDEX(INDIRECT(B$5 &amp; "!A:ZZ"), MATCH($T$7, INDIRECT(INDEX(B$5,0) &amp; "!$E$3:$E$7"), 0) + 2, MATCH($A17, INDIRECT(INDEX(B$5,0) &amp; "!$9:$9"), 0) + 2))</f>
        <v>0</v>
      </c>
      <c r="U17" s="6">
        <f t="shared" si="57"/>
        <v>0</v>
      </c>
      <c r="V17" s="6">
        <f t="shared" si="57"/>
        <v>0</v>
      </c>
      <c r="W17" s="6">
        <f t="shared" si="57"/>
        <v>0</v>
      </c>
      <c r="X17" s="6">
        <f t="shared" si="57"/>
        <v>0</v>
      </c>
      <c r="Y17" s="6">
        <f t="shared" si="57"/>
        <v>0</v>
      </c>
      <c r="Z17" s="6">
        <f t="shared" si="12"/>
        <v>0</v>
      </c>
      <c r="AA17" s="6">
        <f t="array" ref="AA17">SUM(T17:Y17*$B34:$G34)/SUM($B34:$G34)</f>
        <v>0</v>
      </c>
      <c r="AC17" s="6">
        <f t="shared" ref="AC17:AH17" si="58">IFNA(INDEX(INDIRECT(B$5 &amp; "!A:ZZ"), MATCH($AC$7, INDIRECT(INDEX(B$5,0) &amp; "!$E$3:$E$7"), 0) + 2, MATCH($A17, INDIRECT(INDEX(B$5,0) &amp; "!$9:$9"), 0) + 2))</f>
        <v>0.1428571429</v>
      </c>
      <c r="AD17" s="6">
        <f t="shared" si="58"/>
        <v>0</v>
      </c>
      <c r="AE17" s="6">
        <f t="shared" si="58"/>
        <v>0</v>
      </c>
      <c r="AF17" s="6">
        <f t="shared" si="58"/>
        <v>0</v>
      </c>
      <c r="AG17" s="6">
        <f t="shared" si="58"/>
        <v>0</v>
      </c>
      <c r="AH17" s="6">
        <f t="shared" si="58"/>
        <v>0</v>
      </c>
      <c r="AI17" s="6">
        <f t="shared" si="14"/>
        <v>0.02380952381</v>
      </c>
      <c r="AJ17" s="6">
        <f t="array" ref="AJ17">SUM(AC17:AH17*$B34:$G34)/SUM($B34:$G34)</f>
        <v>0.03703703704</v>
      </c>
      <c r="AL17" s="6">
        <f t="shared" ref="AL17:AQ17" si="59">IFNA(INDEX(INDIRECT(B$5 &amp; "!A:ZZ"), MATCH($AL$7, INDIRECT(INDEX(B$5,0) &amp; "!$E$3:$E$7"), 0) + 2, MATCH($A17, INDIRECT(INDEX(B$5,0) &amp; "!$9:$9"), 0) + 2))</f>
        <v>0.2857142857</v>
      </c>
      <c r="AM17" s="6">
        <f t="shared" si="59"/>
        <v>0.2857142857</v>
      </c>
      <c r="AN17" s="6">
        <f t="shared" si="59"/>
        <v>1</v>
      </c>
      <c r="AO17" s="6">
        <f t="shared" si="59"/>
        <v>0</v>
      </c>
      <c r="AP17" s="6">
        <f t="shared" si="59"/>
        <v>0</v>
      </c>
      <c r="AQ17" s="6">
        <f t="shared" si="59"/>
        <v>0.5</v>
      </c>
      <c r="AR17" s="6">
        <f t="shared" si="16"/>
        <v>0.3452380952</v>
      </c>
      <c r="AS17" s="6">
        <f t="array" ref="AS17">SUM(AL17:AQ17*$B34:$G34)/SUM($B34:$G34)</f>
        <v>0.3703703704</v>
      </c>
      <c r="AU17" s="6">
        <f t="shared" ref="AU17:AZ17" si="60">IFNA(INDEX(INDIRECT(B$5 &amp; "!A:ZZ"), MATCH($AU$7, INDIRECT(INDEX(B$5,0) &amp; "!$E$3:$E$7"), 0) + 2, MATCH($A17, INDIRECT(INDEX(B$5,0) &amp; "!$9:$9"), 0) + 2))</f>
        <v>0.4285714286</v>
      </c>
      <c r="AV17" s="6">
        <f t="shared" si="60"/>
        <v>0.5714285714</v>
      </c>
      <c r="AW17" s="6">
        <f t="shared" si="60"/>
        <v>0</v>
      </c>
      <c r="AX17" s="6">
        <f t="shared" si="60"/>
        <v>1</v>
      </c>
      <c r="AY17" s="6">
        <f t="shared" si="60"/>
        <v>1</v>
      </c>
      <c r="AZ17" s="6">
        <f t="shared" si="60"/>
        <v>0.5</v>
      </c>
      <c r="BA17" s="6">
        <f t="shared" si="18"/>
        <v>0.5833333333</v>
      </c>
      <c r="BB17" s="6">
        <f t="array" ref="BB17">SUM(AU17:AZ17*$B34:$G34)/SUM($B34:$G34)</f>
        <v>0.5185185185</v>
      </c>
    </row>
    <row r="18">
      <c r="A18" s="5" t="str">
        <f>IFERROR(__xludf.DUMMYFUNCTION("""COMPUTED_VALUE"""),"['world', 'class', 'striker']")</f>
        <v>['world', 'class', 'striker']</v>
      </c>
      <c r="B18" s="6">
        <f t="shared" ref="B18:G18" si="61">IFNA(INDEX(INDIRECT(B$5 &amp; "!A:ZZ"), 8, MATCH($A18, INDIRECT(INDEX(B$5,0) &amp; "!$9:$9"), 0) + 2))</f>
        <v>0.5</v>
      </c>
      <c r="C18" s="6">
        <f t="shared" si="61"/>
        <v>0</v>
      </c>
      <c r="D18" s="6">
        <f t="shared" si="61"/>
        <v>0</v>
      </c>
      <c r="E18" s="6" t="str">
        <f t="shared" si="61"/>
        <v/>
      </c>
      <c r="F18" s="6">
        <f t="shared" si="61"/>
        <v>0</v>
      </c>
      <c r="G18" s="6">
        <f t="shared" si="61"/>
        <v>0.5</v>
      </c>
      <c r="H18" s="6">
        <f t="shared" si="8"/>
        <v>0.2</v>
      </c>
      <c r="I18" s="6">
        <f t="array" ref="I18">SUM(B18:G18*$B35:$G35)/SUM($B35:$G35)</f>
        <v>0.3333333333</v>
      </c>
      <c r="J18" s="6"/>
      <c r="K18" s="6">
        <f t="shared" ref="K18:P18" si="62">IFNA(INDEX(INDIRECT(B$5 &amp; "!A:ZZ"), MATCH($K$7, INDIRECT(INDEX(B$5,0) &amp; "!$E$3:$E$7"), 0) + 2, MATCH($A18, INDIRECT(INDEX(B$5,0) &amp; "!$9:$9"), 0) + 2))</f>
        <v>0</v>
      </c>
      <c r="L18" s="6">
        <f t="shared" si="62"/>
        <v>0</v>
      </c>
      <c r="M18" s="6">
        <f t="shared" si="62"/>
        <v>0</v>
      </c>
      <c r="N18" s="6" t="str">
        <f t="shared" si="62"/>
        <v/>
      </c>
      <c r="O18" s="6">
        <f t="shared" si="62"/>
        <v>0</v>
      </c>
      <c r="P18" s="6">
        <f t="shared" si="62"/>
        <v>0.25</v>
      </c>
      <c r="Q18" s="6">
        <f t="shared" si="10"/>
        <v>0.04166666667</v>
      </c>
      <c r="R18" s="6">
        <f t="array" ref="R18">SUM(K18:P18*$B35:$G35)/SUM($B35:$G35)</f>
        <v>0.1111111111</v>
      </c>
      <c r="S18" s="6"/>
      <c r="T18" s="6">
        <f t="shared" ref="T18:Y18" si="63">IFNA(INDEX(INDIRECT(B$5 &amp; "!A:ZZ"), MATCH($T$7, INDIRECT(INDEX(B$5,0) &amp; "!$E$3:$E$7"), 0) + 2, MATCH($A18, INDIRECT(INDEX(B$5,0) &amp; "!$9:$9"), 0) + 2))</f>
        <v>0</v>
      </c>
      <c r="U18" s="6">
        <f t="shared" si="63"/>
        <v>0</v>
      </c>
      <c r="V18" s="6">
        <f t="shared" si="63"/>
        <v>0</v>
      </c>
      <c r="W18" s="6" t="str">
        <f t="shared" si="63"/>
        <v/>
      </c>
      <c r="X18" s="6">
        <f t="shared" si="63"/>
        <v>0</v>
      </c>
      <c r="Y18" s="6">
        <f t="shared" si="63"/>
        <v>0.25</v>
      </c>
      <c r="Z18" s="6">
        <f t="shared" si="12"/>
        <v>0.04166666667</v>
      </c>
      <c r="AA18" s="6">
        <f t="array" ref="AA18">SUM(T18:Y18*$B35:$G35)/SUM($B35:$G35)</f>
        <v>0.1111111111</v>
      </c>
      <c r="AC18" s="6">
        <f t="shared" ref="AC18:AH18" si="64">IFNA(INDEX(INDIRECT(B$5 &amp; "!A:ZZ"), MATCH($AC$7, INDIRECT(INDEX(B$5,0) &amp; "!$E$3:$E$7"), 0) + 2, MATCH($A18, INDIRECT(INDEX(B$5,0) &amp; "!$9:$9"), 0) + 2))</f>
        <v>0.5</v>
      </c>
      <c r="AD18" s="6">
        <f t="shared" si="64"/>
        <v>1</v>
      </c>
      <c r="AE18" s="6">
        <f t="shared" si="64"/>
        <v>1</v>
      </c>
      <c r="AF18" s="6" t="str">
        <f t="shared" si="64"/>
        <v/>
      </c>
      <c r="AG18" s="6">
        <f t="shared" si="64"/>
        <v>1</v>
      </c>
      <c r="AH18" s="6">
        <f t="shared" si="64"/>
        <v>0</v>
      </c>
      <c r="AI18" s="6">
        <f t="shared" si="14"/>
        <v>0.5833333333</v>
      </c>
      <c r="AJ18" s="6">
        <f t="array" ref="AJ18">SUM(AC18:AH18*$B35:$G35)/SUM($B35:$G35)</f>
        <v>0.4444444444</v>
      </c>
      <c r="AL18" s="6">
        <f t="shared" ref="AL18:AQ18" si="65">IFNA(INDEX(INDIRECT(B$5 &amp; "!A:ZZ"), MATCH($AL$7, INDIRECT(INDEX(B$5,0) &amp; "!$E$3:$E$7"), 0) + 2, MATCH($A18, INDIRECT(INDEX(B$5,0) &amp; "!$9:$9"), 0) + 2))</f>
        <v>0.25</v>
      </c>
      <c r="AM18" s="6">
        <f t="shared" si="65"/>
        <v>0</v>
      </c>
      <c r="AN18" s="6">
        <f t="shared" si="65"/>
        <v>0</v>
      </c>
      <c r="AO18" s="6" t="str">
        <f t="shared" si="65"/>
        <v/>
      </c>
      <c r="AP18" s="6">
        <f t="shared" si="65"/>
        <v>0</v>
      </c>
      <c r="AQ18" s="6">
        <f t="shared" si="65"/>
        <v>0.25</v>
      </c>
      <c r="AR18" s="6">
        <f t="shared" si="16"/>
        <v>0.08333333333</v>
      </c>
      <c r="AS18" s="6">
        <f t="array" ref="AS18">SUM(AL18:AQ18*$B35:$G35)/SUM($B35:$G35)</f>
        <v>0.1666666667</v>
      </c>
      <c r="AU18" s="6">
        <f t="shared" ref="AU18:AZ18" si="66">IFNA(INDEX(INDIRECT(B$5 &amp; "!A:ZZ"), MATCH($AU$7, INDIRECT(INDEX(B$5,0) &amp; "!$E$3:$E$7"), 0) + 2, MATCH($A18, INDIRECT(INDEX(B$5,0) &amp; "!$9:$9"), 0) + 2))</f>
        <v>0.25</v>
      </c>
      <c r="AV18" s="6">
        <f t="shared" si="66"/>
        <v>0</v>
      </c>
      <c r="AW18" s="6">
        <f t="shared" si="66"/>
        <v>0</v>
      </c>
      <c r="AX18" s="6" t="str">
        <f t="shared" si="66"/>
        <v/>
      </c>
      <c r="AY18" s="6">
        <f t="shared" si="66"/>
        <v>0</v>
      </c>
      <c r="AZ18" s="6">
        <f t="shared" si="66"/>
        <v>0.25</v>
      </c>
      <c r="BA18" s="6">
        <f t="shared" si="18"/>
        <v>0.08333333333</v>
      </c>
      <c r="BB18" s="6">
        <f t="array" ref="BB18">SUM(AU18:AZ18*$B35:$G35)/SUM($B35:$G35)</f>
        <v>0.1666666667</v>
      </c>
    </row>
    <row r="19">
      <c r="A19" s="5" t="str">
        <f>IFERROR(__xludf.DUMMYFUNCTION("""COMPUTED_VALUE"""),"['keeper', 'best', 'goalkeep', 'defend', 'EXCLUDED-kepa', 'save']")</f>
        <v>['keeper', 'best', 'goalkeep', 'defend', 'EXCLUDED-kepa', 'save']</v>
      </c>
      <c r="B19" s="6">
        <f t="shared" ref="B19:G19" si="67">IFNA(INDEX(INDIRECT(B$5 &amp; "!A:ZZ"), 8, MATCH($A19, INDIRECT(INDEX(B$5,0) &amp; "!$9:$9"), 0) + 2))</f>
        <v>1</v>
      </c>
      <c r="C19" s="6">
        <f t="shared" si="67"/>
        <v>0.6363636364</v>
      </c>
      <c r="D19" s="6">
        <f t="shared" si="67"/>
        <v>0.6666666667</v>
      </c>
      <c r="E19" s="6">
        <f t="shared" si="67"/>
        <v>0.75</v>
      </c>
      <c r="F19" s="6">
        <f t="shared" si="67"/>
        <v>0.7777777778</v>
      </c>
      <c r="G19" s="6">
        <f t="shared" si="67"/>
        <v>0.3333333333</v>
      </c>
      <c r="H19" s="6">
        <f t="shared" si="8"/>
        <v>0.694023569</v>
      </c>
      <c r="I19" s="6">
        <f t="array" ref="I19">SUM(B19:G19*$B36:$G36)/SUM($B36:$G36)</f>
        <v>0.6585365854</v>
      </c>
      <c r="J19" s="6"/>
      <c r="K19" s="6">
        <f t="shared" ref="K19:P19" si="68">IFNA(INDEX(INDIRECT(B$5 &amp; "!A:ZZ"), MATCH($K$7, INDIRECT(INDEX(B$5,0) &amp; "!$E$3:$E$7"), 0) + 2, MATCH($A19, INDIRECT(INDEX(B$5,0) &amp; "!$9:$9"), 0) + 2))</f>
        <v>0</v>
      </c>
      <c r="L19" s="6">
        <f t="shared" si="68"/>
        <v>0</v>
      </c>
      <c r="M19" s="6">
        <f t="shared" si="68"/>
        <v>0</v>
      </c>
      <c r="N19" s="6">
        <f t="shared" si="68"/>
        <v>0</v>
      </c>
      <c r="O19" s="6">
        <f t="shared" si="68"/>
        <v>0.1111111111</v>
      </c>
      <c r="P19" s="6">
        <f t="shared" si="68"/>
        <v>0.1111111111</v>
      </c>
      <c r="Q19" s="6">
        <f t="shared" si="10"/>
        <v>0.03703703704</v>
      </c>
      <c r="R19" s="6">
        <f t="array" ref="R19">SUM(K19:P19*$B36:$G36)/SUM($B36:$G36)</f>
        <v>0.0487804878</v>
      </c>
      <c r="S19" s="6"/>
      <c r="T19" s="6">
        <f t="shared" ref="T19:Y19" si="69">IFNA(INDEX(INDIRECT(B$5 &amp; "!A:ZZ"), MATCH($T$7, INDIRECT(INDEX(B$5,0) &amp; "!$E$3:$E$7"), 0) + 2, MATCH($A19, INDIRECT(INDEX(B$5,0) &amp; "!$9:$9"), 0) + 2))</f>
        <v>0</v>
      </c>
      <c r="U19" s="6">
        <f t="shared" si="69"/>
        <v>0</v>
      </c>
      <c r="V19" s="6">
        <f t="shared" si="69"/>
        <v>0.3333333333</v>
      </c>
      <c r="W19" s="6">
        <f t="shared" si="69"/>
        <v>0.25</v>
      </c>
      <c r="X19" s="6">
        <f t="shared" si="69"/>
        <v>0.1111111111</v>
      </c>
      <c r="Y19" s="6">
        <f t="shared" si="69"/>
        <v>0.1111111111</v>
      </c>
      <c r="Z19" s="6">
        <f t="shared" si="12"/>
        <v>0.1342592593</v>
      </c>
      <c r="AA19" s="6">
        <f t="array" ref="AA19">SUM(T19:Y19*$B36:$G36)/SUM($B36:$G36)</f>
        <v>0.09756097561</v>
      </c>
      <c r="AC19" s="6">
        <f t="shared" ref="AC19:AH19" si="70">IFNA(INDEX(INDIRECT(B$5 &amp; "!A:ZZ"), MATCH($AC$7, INDIRECT(INDEX(B$5,0) &amp; "!$E$3:$E$7"), 0) + 2, MATCH($A19, INDIRECT(INDEX(B$5,0) &amp; "!$9:$9"), 0) + 2))</f>
        <v>0</v>
      </c>
      <c r="AD19" s="6">
        <f t="shared" si="70"/>
        <v>0.3636363636</v>
      </c>
      <c r="AE19" s="6">
        <f t="shared" si="70"/>
        <v>0</v>
      </c>
      <c r="AF19" s="6">
        <f t="shared" si="70"/>
        <v>0</v>
      </c>
      <c r="AG19" s="6">
        <f t="shared" si="70"/>
        <v>0</v>
      </c>
      <c r="AH19" s="6">
        <f t="shared" si="70"/>
        <v>0.4444444444</v>
      </c>
      <c r="AI19" s="6">
        <f t="shared" si="14"/>
        <v>0.1346801347</v>
      </c>
      <c r="AJ19" s="6">
        <f t="array" ref="AJ19">SUM(AC19:AH19*$B36:$G36)/SUM($B36:$G36)</f>
        <v>0.1951219512</v>
      </c>
      <c r="AL19" s="6">
        <f t="shared" ref="AL19:AQ19" si="71">IFNA(INDEX(INDIRECT(B$5 &amp; "!A:ZZ"), MATCH($AL$7, INDIRECT(INDEX(B$5,0) &amp; "!$E$3:$E$7"), 0) + 2, MATCH($A19, INDIRECT(INDEX(B$5,0) &amp; "!$9:$9"), 0) + 2))</f>
        <v>0.6</v>
      </c>
      <c r="AM19" s="6">
        <f t="shared" si="71"/>
        <v>0.2727272727</v>
      </c>
      <c r="AN19" s="6">
        <f t="shared" si="71"/>
        <v>0.3333333333</v>
      </c>
      <c r="AO19" s="6">
        <f t="shared" si="71"/>
        <v>0.25</v>
      </c>
      <c r="AP19" s="6">
        <f t="shared" si="71"/>
        <v>0.1111111111</v>
      </c>
      <c r="AQ19" s="6">
        <f t="shared" si="71"/>
        <v>0</v>
      </c>
      <c r="AR19" s="6">
        <f t="shared" si="16"/>
        <v>0.2611952862</v>
      </c>
      <c r="AS19" s="6">
        <f t="array" ref="AS19">SUM(AL19:AQ19*$B36:$G36)/SUM($B36:$G36)</f>
        <v>0.2195121951</v>
      </c>
      <c r="AU19" s="6">
        <f t="shared" ref="AU19:AZ19" si="72">IFNA(INDEX(INDIRECT(B$5 &amp; "!A:ZZ"), MATCH($AU$7, INDIRECT(INDEX(B$5,0) &amp; "!$E$3:$E$7"), 0) + 2, MATCH($A19, INDIRECT(INDEX(B$5,0) &amp; "!$9:$9"), 0) + 2))</f>
        <v>0.4</v>
      </c>
      <c r="AV19" s="6">
        <f t="shared" si="72"/>
        <v>0.3636363636</v>
      </c>
      <c r="AW19" s="6">
        <f t="shared" si="72"/>
        <v>0.3333333333</v>
      </c>
      <c r="AX19" s="6">
        <f t="shared" si="72"/>
        <v>0.5</v>
      </c>
      <c r="AY19" s="6">
        <f t="shared" si="72"/>
        <v>0.6666666667</v>
      </c>
      <c r="AZ19" s="6">
        <f t="shared" si="72"/>
        <v>0.3333333333</v>
      </c>
      <c r="BA19" s="6">
        <f t="shared" si="18"/>
        <v>0.4328282828</v>
      </c>
      <c r="BB19" s="6">
        <f t="array" ref="BB19">SUM(AU19:AZ19*$B36:$G36)/SUM($B36:$G36)</f>
        <v>0.4390243902</v>
      </c>
    </row>
    <row r="20">
      <c r="A20" s="5" t="str">
        <f>IFERROR(__xludf.DUMMYFUNCTION("""COMPUTED_VALUE"""),"['hit', 'post']")</f>
        <v>['hit', 'post']</v>
      </c>
      <c r="B20" s="6" t="str">
        <f t="shared" ref="B20:G20" si="73">IFNA(INDEX(INDIRECT(B$5 &amp; "!A:ZZ"), 8, MATCH($A20, INDIRECT(INDEX(B$5,0) &amp; "!$9:$9"), 0) + 2))</f>
        <v/>
      </c>
      <c r="C20" s="6">
        <f t="shared" si="73"/>
        <v>1</v>
      </c>
      <c r="D20" s="6" t="str">
        <f t="shared" si="73"/>
        <v/>
      </c>
      <c r="E20" s="6">
        <f t="shared" si="73"/>
        <v>1</v>
      </c>
      <c r="F20" s="6">
        <f t="shared" si="73"/>
        <v>1</v>
      </c>
      <c r="G20" s="6">
        <f t="shared" si="73"/>
        <v>1</v>
      </c>
      <c r="H20" s="6">
        <f t="shared" si="8"/>
        <v>1</v>
      </c>
      <c r="I20" s="6">
        <f t="array" ref="I20">SUM(B20:G20*$B37:$G37)/SUM($B37:$G37)</f>
        <v>1</v>
      </c>
      <c r="J20" s="6"/>
      <c r="K20" s="6" t="str">
        <f t="shared" ref="K20:P20" si="74">IFNA(INDEX(INDIRECT(B$5 &amp; "!A:ZZ"), MATCH($K$7, INDIRECT(INDEX(B$5,0) &amp; "!$E$3:$E$7"), 0) + 2, MATCH($A20, INDIRECT(INDEX(B$5,0) &amp; "!$9:$9"), 0) + 2))</f>
        <v/>
      </c>
      <c r="L20" s="6">
        <f t="shared" si="74"/>
        <v>0</v>
      </c>
      <c r="M20" s="6" t="str">
        <f t="shared" si="74"/>
        <v/>
      </c>
      <c r="N20" s="6">
        <f t="shared" si="74"/>
        <v>0</v>
      </c>
      <c r="O20" s="6">
        <f t="shared" si="74"/>
        <v>0</v>
      </c>
      <c r="P20" s="6">
        <f t="shared" si="74"/>
        <v>0</v>
      </c>
      <c r="Q20" s="6">
        <f t="shared" si="10"/>
        <v>0</v>
      </c>
      <c r="R20" s="6">
        <f t="array" ref="R20">SUM(K20:P20*$B37:$G37)/SUM($B37:$G37)</f>
        <v>0</v>
      </c>
      <c r="T20" s="6" t="str">
        <f t="shared" ref="T20:Y20" si="75">IFNA(INDEX(INDIRECT(B$5 &amp; "!A:ZZ"), MATCH($T$7, INDIRECT(INDEX(B$5,0) &amp; "!$E$3:$E$7"), 0) + 2, MATCH($A20, INDIRECT(INDEX(B$5,0) &amp; "!$9:$9"), 0) + 2))</f>
        <v/>
      </c>
      <c r="U20" s="6">
        <f t="shared" si="75"/>
        <v>0</v>
      </c>
      <c r="V20" s="6" t="str">
        <f t="shared" si="75"/>
        <v/>
      </c>
      <c r="W20" s="6">
        <f t="shared" si="75"/>
        <v>0</v>
      </c>
      <c r="X20" s="6">
        <f t="shared" si="75"/>
        <v>0</v>
      </c>
      <c r="Y20" s="6">
        <f t="shared" si="75"/>
        <v>0</v>
      </c>
      <c r="Z20" s="6">
        <f t="shared" si="12"/>
        <v>0</v>
      </c>
      <c r="AA20" s="6">
        <f t="array" ref="AA20">SUM(T20:Y20*$B37:$G37)/SUM($B37:$G37)</f>
        <v>0</v>
      </c>
      <c r="AC20" s="6" t="str">
        <f t="shared" ref="AC20:AH20" si="76">IFNA(INDEX(INDIRECT(B$5 &amp; "!A:ZZ"), MATCH($AC$7, INDIRECT(INDEX(B$5,0) &amp; "!$E$3:$E$7"), 0) + 2, MATCH($A20, INDIRECT(INDEX(B$5,0) &amp; "!$9:$9"), 0) + 2))</f>
        <v/>
      </c>
      <c r="AD20" s="6">
        <f t="shared" si="76"/>
        <v>0</v>
      </c>
      <c r="AE20" s="6" t="str">
        <f t="shared" si="76"/>
        <v/>
      </c>
      <c r="AF20" s="6">
        <f t="shared" si="76"/>
        <v>0</v>
      </c>
      <c r="AG20" s="6">
        <f t="shared" si="76"/>
        <v>0</v>
      </c>
      <c r="AH20" s="6">
        <f t="shared" si="76"/>
        <v>0</v>
      </c>
      <c r="AI20" s="6">
        <f t="shared" si="14"/>
        <v>0</v>
      </c>
      <c r="AJ20" s="6">
        <f t="array" ref="AJ20">SUM(AC20:AH20*$B37:$G37)/SUM($B37:$G37)</f>
        <v>0</v>
      </c>
      <c r="AL20" s="6" t="str">
        <f t="shared" ref="AL20:AQ20" si="77">IFNA(INDEX(INDIRECT(B$5 &amp; "!A:ZZ"), MATCH($AL$7, INDIRECT(INDEX(B$5,0) &amp; "!$E$3:$E$7"), 0) + 2, MATCH($A20, INDIRECT(INDEX(B$5,0) &amp; "!$9:$9"), 0) + 2))</f>
        <v/>
      </c>
      <c r="AM20" s="6">
        <f t="shared" si="77"/>
        <v>0</v>
      </c>
      <c r="AN20" s="6" t="str">
        <f t="shared" si="77"/>
        <v/>
      </c>
      <c r="AO20" s="6">
        <f t="shared" si="77"/>
        <v>0</v>
      </c>
      <c r="AP20" s="6">
        <f t="shared" si="77"/>
        <v>0</v>
      </c>
      <c r="AQ20" s="6">
        <f t="shared" si="77"/>
        <v>1</v>
      </c>
      <c r="AR20" s="6">
        <f t="shared" si="16"/>
        <v>0.1666666667</v>
      </c>
      <c r="AS20" s="6">
        <f t="array" ref="AS20">SUM(AL20:AQ20*$B37:$G37)/SUM($B37:$G37)</f>
        <v>0.25</v>
      </c>
      <c r="AU20" s="6" t="str">
        <f t="shared" ref="AU20:AZ20" si="78">IFNA(INDEX(INDIRECT(B$5 &amp; "!A:ZZ"), MATCH($AU$7, INDIRECT(INDEX(B$5,0) &amp; "!$E$3:$E$7"), 0) + 2, MATCH($A20, INDIRECT(INDEX(B$5,0) &amp; "!$9:$9"), 0) + 2))</f>
        <v/>
      </c>
      <c r="AV20" s="6">
        <f t="shared" si="78"/>
        <v>1</v>
      </c>
      <c r="AW20" s="6" t="str">
        <f t="shared" si="78"/>
        <v/>
      </c>
      <c r="AX20" s="6">
        <f t="shared" si="78"/>
        <v>1</v>
      </c>
      <c r="AY20" s="6">
        <f t="shared" si="78"/>
        <v>1</v>
      </c>
      <c r="AZ20" s="6">
        <f t="shared" si="78"/>
        <v>0</v>
      </c>
      <c r="BA20" s="6">
        <f t="shared" si="18"/>
        <v>0.5</v>
      </c>
      <c r="BB20" s="6">
        <f t="array" ref="BB20">SUM(AU20:AZ20*$B37:$G37)/SUM($B37:$G37)</f>
        <v>0.75</v>
      </c>
    </row>
    <row r="21">
      <c r="A21" s="5" t="str">
        <f>IFERROR(__xludf.DUMMYFUNCTION("""COMPUTED_VALUE"""),"['EXCLUDED-man', 'utd']")</f>
        <v>['EXCLUDED-man', 'utd']</v>
      </c>
      <c r="B21" s="6" t="str">
        <f t="shared" ref="B21:G21" si="79">IFNA(INDEX(INDIRECT(B$5 &amp; "!A:ZZ"), 8, MATCH($A21, INDIRECT(INDEX(B$5,0) &amp; "!$9:$9"), 0) + 2))</f>
        <v/>
      </c>
      <c r="C21" s="6" t="str">
        <f t="shared" si="79"/>
        <v/>
      </c>
      <c r="D21" s="6" t="str">
        <f t="shared" si="79"/>
        <v/>
      </c>
      <c r="E21" s="6">
        <f t="shared" si="79"/>
        <v>0.8571428571</v>
      </c>
      <c r="F21" s="6" t="str">
        <f t="shared" si="79"/>
        <v/>
      </c>
      <c r="G21" s="6" t="str">
        <f t="shared" si="79"/>
        <v/>
      </c>
      <c r="H21" s="6">
        <f t="shared" si="8"/>
        <v>0.8571428571</v>
      </c>
      <c r="I21" s="6">
        <f t="array" ref="I21">SUM(B21:G21*$B38:$G38)/SUM($B38:$G38)</f>
        <v>0.8571428571</v>
      </c>
      <c r="J21" s="6"/>
      <c r="K21" s="6" t="str">
        <f t="shared" ref="K21:P21" si="80">IFNA(INDEX(INDIRECT(B$5 &amp; "!A:ZZ"), MATCH($K$7, INDIRECT(INDEX(B$5,0) &amp; "!$E$3:$E$7"), 0) + 2, MATCH($A21, INDIRECT(INDEX(B$5,0) &amp; "!$9:$9"), 0) + 2))</f>
        <v/>
      </c>
      <c r="L21" s="6" t="str">
        <f t="shared" si="80"/>
        <v/>
      </c>
      <c r="M21" s="6" t="str">
        <f t="shared" si="80"/>
        <v/>
      </c>
      <c r="N21" s="6">
        <f t="shared" si="80"/>
        <v>0</v>
      </c>
      <c r="O21" s="6" t="str">
        <f t="shared" si="80"/>
        <v/>
      </c>
      <c r="P21" s="6" t="str">
        <f t="shared" si="80"/>
        <v/>
      </c>
      <c r="Q21" s="6">
        <f t="shared" si="10"/>
        <v>0</v>
      </c>
      <c r="R21" s="6">
        <f t="array" ref="R21">SUM(K21:P21*$B38:$G38)/SUM($B38:$G38)</f>
        <v>0</v>
      </c>
      <c r="T21" s="6" t="str">
        <f t="shared" ref="T21:Y21" si="81">IFNA(INDEX(INDIRECT(B$5 &amp; "!A:ZZ"), MATCH($T$7, INDIRECT(INDEX(B$5,0) &amp; "!$E$3:$E$7"), 0) + 2, MATCH($A21, INDIRECT(INDEX(B$5,0) &amp; "!$9:$9"), 0) + 2))</f>
        <v/>
      </c>
      <c r="U21" s="6" t="str">
        <f t="shared" si="81"/>
        <v/>
      </c>
      <c r="V21" s="6" t="str">
        <f t="shared" si="81"/>
        <v/>
      </c>
      <c r="W21" s="6">
        <f t="shared" si="81"/>
        <v>0</v>
      </c>
      <c r="X21" s="6" t="str">
        <f t="shared" si="81"/>
        <v/>
      </c>
      <c r="Y21" s="6" t="str">
        <f t="shared" si="81"/>
        <v/>
      </c>
      <c r="Z21" s="6">
        <f t="shared" si="12"/>
        <v>0</v>
      </c>
      <c r="AA21" s="6">
        <f t="array" ref="AA21">SUM(T21:Y21*$B38:$G38)/SUM($B38:$G38)</f>
        <v>0</v>
      </c>
      <c r="AC21" s="6" t="str">
        <f t="shared" ref="AC21:AH21" si="82">IFNA(INDEX(INDIRECT(B$5 &amp; "!A:ZZ"), MATCH($AC$7, INDIRECT(INDEX(B$5,0) &amp; "!$E$3:$E$7"), 0) + 2, MATCH($A21, INDIRECT(INDEX(B$5,0) &amp; "!$9:$9"), 0) + 2))</f>
        <v/>
      </c>
      <c r="AD21" s="6" t="str">
        <f t="shared" si="82"/>
        <v/>
      </c>
      <c r="AE21" s="6" t="str">
        <f t="shared" si="82"/>
        <v/>
      </c>
      <c r="AF21" s="6">
        <f t="shared" si="82"/>
        <v>0.1428571429</v>
      </c>
      <c r="AG21" s="6" t="str">
        <f t="shared" si="82"/>
        <v/>
      </c>
      <c r="AH21" s="6" t="str">
        <f t="shared" si="82"/>
        <v/>
      </c>
      <c r="AI21" s="6">
        <f t="shared" si="14"/>
        <v>0.02380952381</v>
      </c>
      <c r="AJ21" s="6">
        <f t="array" ref="AJ21">SUM(AC21:AH21*$B38:$G38)/SUM($B38:$G38)</f>
        <v>0.1428571429</v>
      </c>
      <c r="AL21" s="6" t="str">
        <f t="shared" ref="AL21:AQ21" si="83">IFNA(INDEX(INDIRECT(B$5 &amp; "!A:ZZ"), MATCH($AL$7, INDIRECT(INDEX(B$5,0) &amp; "!$E$3:$E$7"), 0) + 2, MATCH($A21, INDIRECT(INDEX(B$5,0) &amp; "!$9:$9"), 0) + 2))</f>
        <v/>
      </c>
      <c r="AM21" s="6" t="str">
        <f t="shared" si="83"/>
        <v/>
      </c>
      <c r="AN21" s="6" t="str">
        <f t="shared" si="83"/>
        <v/>
      </c>
      <c r="AO21" s="6">
        <f t="shared" si="83"/>
        <v>0.5714285714</v>
      </c>
      <c r="AP21" s="6" t="str">
        <f t="shared" si="83"/>
        <v/>
      </c>
      <c r="AQ21" s="6" t="str">
        <f t="shared" si="83"/>
        <v/>
      </c>
      <c r="AR21" s="6">
        <f t="shared" si="16"/>
        <v>0.09523809524</v>
      </c>
      <c r="AS21" s="6">
        <f t="array" ref="AS21">SUM(AL21:AQ21*$B38:$G38)/SUM($B38:$G38)</f>
        <v>0.5714285714</v>
      </c>
      <c r="AU21" s="6" t="str">
        <f t="shared" ref="AU21:AZ21" si="84">IFNA(INDEX(INDIRECT(B$5 &amp; "!A:ZZ"), MATCH($AU$7, INDIRECT(INDEX(B$5,0) &amp; "!$E$3:$E$7"), 0) + 2, MATCH($A21, INDIRECT(INDEX(B$5,0) &amp; "!$9:$9"), 0) + 2))</f>
        <v/>
      </c>
      <c r="AV21" s="6" t="str">
        <f t="shared" si="84"/>
        <v/>
      </c>
      <c r="AW21" s="6" t="str">
        <f t="shared" si="84"/>
        <v/>
      </c>
      <c r="AX21" s="6">
        <f t="shared" si="84"/>
        <v>0.2857142857</v>
      </c>
      <c r="AY21" s="6" t="str">
        <f t="shared" si="84"/>
        <v/>
      </c>
      <c r="AZ21" s="6" t="str">
        <f t="shared" si="84"/>
        <v/>
      </c>
      <c r="BA21" s="6">
        <f t="shared" si="18"/>
        <v>0.04761904762</v>
      </c>
      <c r="BB21" s="6">
        <f t="array" ref="BB21">SUM(AU21:AZ21*$B38:$G38)/SUM($B38:$G38)</f>
        <v>0.2857142857</v>
      </c>
    </row>
    <row r="22">
      <c r="K22" s="6"/>
      <c r="L22" s="6"/>
      <c r="M22" s="6"/>
      <c r="N22" s="6"/>
      <c r="O22" s="6"/>
    </row>
    <row r="23">
      <c r="C23" s="1"/>
      <c r="D23" s="1"/>
      <c r="E23" s="1"/>
      <c r="F23" s="1"/>
      <c r="G23" s="1"/>
      <c r="H23" s="1"/>
      <c r="I23" s="1"/>
    </row>
    <row r="24">
      <c r="A24" s="1"/>
      <c r="B24" s="1" t="s">
        <v>23</v>
      </c>
      <c r="K24" s="8" t="s">
        <v>24</v>
      </c>
      <c r="R24" s="8" t="s">
        <v>25</v>
      </c>
    </row>
    <row r="25">
      <c r="A25" s="1" t="s">
        <v>19</v>
      </c>
      <c r="B25" s="1" t="s">
        <v>1</v>
      </c>
      <c r="C25" s="1" t="s">
        <v>2</v>
      </c>
      <c r="D25" s="1" t="s">
        <v>3</v>
      </c>
      <c r="E25" s="1" t="s">
        <v>4</v>
      </c>
      <c r="F25" s="1" t="s">
        <v>5</v>
      </c>
      <c r="G25" s="1" t="s">
        <v>6</v>
      </c>
      <c r="H25" s="1" t="s">
        <v>20</v>
      </c>
      <c r="I25" s="9" t="s">
        <v>26</v>
      </c>
      <c r="K25" s="3" t="s">
        <v>14</v>
      </c>
      <c r="L25" s="3" t="s">
        <v>15</v>
      </c>
      <c r="M25" s="10" t="s">
        <v>16</v>
      </c>
      <c r="N25" s="3" t="s">
        <v>17</v>
      </c>
      <c r="O25" s="3" t="s">
        <v>18</v>
      </c>
      <c r="P25" s="1" t="s">
        <v>27</v>
      </c>
      <c r="Q25" s="1" t="s">
        <v>26</v>
      </c>
      <c r="R25" s="3" t="s">
        <v>14</v>
      </c>
      <c r="S25" s="3" t="s">
        <v>15</v>
      </c>
      <c r="T25" s="10" t="s">
        <v>16</v>
      </c>
      <c r="U25" s="3" t="s">
        <v>17</v>
      </c>
      <c r="V25" s="3" t="s">
        <v>18</v>
      </c>
      <c r="W25" s="1" t="s">
        <v>27</v>
      </c>
    </row>
    <row r="26">
      <c r="A26" s="5" t="str">
        <f>IFERROR(__xludf.DUMMYFUNCTION("FILTER(UNIQUE({TRANSPOSE(INDEX(INDIRECT(INDEX($B$5) &amp; ""!E$9:9""))); TRANSPOSE(INDEX(INDIRECT(INDEX($C$5) &amp; ""!E$9:9""))); TRANSPOSE(INDEX(INDIRECT(INDEX($D$5) &amp; ""!E$9:9""))); TRANSPOSE(INDEX(INDIRECT(INDEX($E$5) &amp; ""!E$9:9""))); TRANSPOSE(INDEX(INDIRECT"&amp;"(INDEX($F$5) &amp; ""!E$9:9""))); TRANSPOSE(INDEX(INDIRECT(INDEX($G$5) &amp; ""!E$9:9"")))}), LEN(UNIQUE({TRANSPOSE(INDEX(INDIRECT(INDEX($B$5) &amp; ""!E$9:9""))); TRANSPOSE(INDEX(INDIRECT(INDEX($C$5) &amp; ""!E$9:9""))); TRANSPOSE(INDEX(INDIRECT(INDEX($D$5) &amp; ""!E$9:9"""&amp;"))); TRANSPOSE(INDEX(INDIRECT(INDEX($E$5) &amp; ""!E$9:9""))); TRANSPOSE(INDEX(INDIRECT(INDEX($F$5) &amp; ""!E$9:9""))); TRANSPOSE(INDEX(INDIRECT(INDEX($G$5) &amp; ""!E$9:9"")))})))"),"['champion', 'final', 'leagu', 'footbal', 'win']")</f>
        <v>['champion', 'final', 'leagu', 'footbal', 'win']</v>
      </c>
      <c r="B26" s="11">
        <f t="shared" ref="B26:G26" si="85">IFNA(INDEX(INDIRECT(B$5 &amp; "!A:ZZ"), 8, MATCH($A26, INDIRECT(INDEX(B$5,0) &amp; "!$9:$9"), 0) + 1))</f>
        <v>23</v>
      </c>
      <c r="C26" s="11">
        <f t="shared" si="85"/>
        <v>16</v>
      </c>
      <c r="D26" s="11">
        <f t="shared" si="85"/>
        <v>11</v>
      </c>
      <c r="E26" s="11">
        <f t="shared" si="85"/>
        <v>14</v>
      </c>
      <c r="F26" s="11">
        <f t="shared" si="85"/>
        <v>11</v>
      </c>
      <c r="G26" s="11">
        <f t="shared" si="85"/>
        <v>17</v>
      </c>
      <c r="H26" s="12">
        <f t="shared" ref="H26:H38" si="87">SUM(B26:G26)/6</f>
        <v>15.33333333</v>
      </c>
      <c r="I26" s="11">
        <f t="shared" ref="I26:I38" si="88">SUM(B26:G26)</f>
        <v>92</v>
      </c>
      <c r="K26" s="6">
        <f t="array" ref="K26:K38">INDEX(R9:R21,0)</f>
        <v>0.0652173913</v>
      </c>
      <c r="L26" s="6">
        <f t="array" ref="L26:L38">INDEX(AA9:AA21,0)</f>
        <v>0.1413043478</v>
      </c>
      <c r="M26" s="6">
        <f t="array" ref="M26:M38">INDEX(AJ9:AJ21,0)</f>
        <v>0.2934782609</v>
      </c>
      <c r="N26" s="6">
        <f t="array" ref="N26:N38">INDEX(AS9:AS21,0)</f>
        <v>0.2608695652</v>
      </c>
      <c r="O26" s="6">
        <f t="array" ref="O26:O38">INDEX(BB9:BB21,0)</f>
        <v>0.2391304348</v>
      </c>
      <c r="P26" s="6">
        <f t="shared" ref="P26:P38" si="89">N26+O26</f>
        <v>0.5</v>
      </c>
      <c r="Q26" s="6">
        <f t="shared" ref="Q26:Q38" si="90">SUM(K26:O26)</f>
        <v>1</v>
      </c>
      <c r="R26" s="6">
        <f t="array" ref="R26:R38">INDEX(Q9:Q21,0)</f>
        <v>0.05649848872</v>
      </c>
      <c r="S26" s="6">
        <f t="array" ref="S26:S38">INDEX(Z9:Z21,0)</f>
        <v>0.144495051</v>
      </c>
      <c r="T26" s="6">
        <f t="array" ref="T26:T38">INDEX(AI9:AI21,0)</f>
        <v>0.3011605828</v>
      </c>
      <c r="U26" s="6">
        <f t="array" ref="U26:U38">INDEX(AR9:AR21,0)</f>
        <v>0.2672049551</v>
      </c>
      <c r="V26" s="6">
        <f t="array" ref="V26:V38">INDEX(BA9:BA21,0)</f>
        <v>0.2306409224</v>
      </c>
      <c r="W26" s="6">
        <f t="shared" ref="W26:W38" si="91">U26+V26</f>
        <v>0.4978458775</v>
      </c>
    </row>
    <row r="27">
      <c r="A27" s="5" t="str">
        <f>IFERROR(__xludf.DUMMYFUNCTION("""COMPUTED_VALUE"""),"['take', 'knee', 'player']")</f>
        <v>['take', 'knee', 'player']</v>
      </c>
      <c r="B27" s="11">
        <f t="shared" ref="B27:G27" si="86">IFNA(INDEX(INDIRECT(B$5 &amp; "!A:ZZ"), 8, MATCH($A27, INDIRECT(INDEX(B$5,0) &amp; "!$9:$9"), 0) + 1))</f>
        <v>18</v>
      </c>
      <c r="C27" s="11">
        <f t="shared" si="86"/>
        <v>17</v>
      </c>
      <c r="D27" s="11">
        <f t="shared" si="86"/>
        <v>7</v>
      </c>
      <c r="E27" s="11">
        <f t="shared" si="86"/>
        <v>7</v>
      </c>
      <c r="F27" s="11">
        <f t="shared" si="86"/>
        <v>6</v>
      </c>
      <c r="G27" s="11">
        <f t="shared" si="86"/>
        <v>16</v>
      </c>
      <c r="H27" s="12">
        <f t="shared" si="87"/>
        <v>11.83333333</v>
      </c>
      <c r="I27" s="11">
        <f t="shared" si="88"/>
        <v>71</v>
      </c>
      <c r="K27" s="6">
        <v>0.04225352112676056</v>
      </c>
      <c r="L27" s="6">
        <v>0.11267605633802817</v>
      </c>
      <c r="M27" s="6">
        <v>0.323943661971831</v>
      </c>
      <c r="N27" s="6">
        <v>0.29577464788732394</v>
      </c>
      <c r="O27" s="6">
        <v>0.22535211267605634</v>
      </c>
      <c r="P27" s="6">
        <f t="shared" si="89"/>
        <v>0.5211267606</v>
      </c>
      <c r="Q27" s="6">
        <f t="shared" si="90"/>
        <v>1</v>
      </c>
      <c r="R27" s="6">
        <v>0.02886710239651416</v>
      </c>
      <c r="S27" s="6">
        <v>0.12228641456582633</v>
      </c>
      <c r="T27" s="6">
        <v>0.33412114845938373</v>
      </c>
      <c r="U27" s="6">
        <v>0.3150093370681606</v>
      </c>
      <c r="V27" s="6">
        <v>0.19971599751011515</v>
      </c>
      <c r="W27" s="6">
        <f t="shared" si="91"/>
        <v>0.5147253346</v>
      </c>
    </row>
    <row r="28">
      <c r="A28" s="5" t="str">
        <f>IFERROR(__xludf.DUMMYFUNCTION("""COMPUTED_VALUE"""),"['goal', 'score', 'conced', 'equalis', 'offsid', 'assist']")</f>
        <v>['goal', 'score', 'conced', 'equalis', 'offsid', 'assist']</v>
      </c>
      <c r="B28" s="11">
        <f t="shared" ref="B28:G28" si="92">IFNA(INDEX(INDIRECT(B$5 &amp; "!A:ZZ"), 8, MATCH($A28, INDIRECT(INDEX(B$5,0) &amp; "!$9:$9"), 0) + 1))</f>
        <v>15</v>
      </c>
      <c r="C28" s="11">
        <f t="shared" si="92"/>
        <v>13</v>
      </c>
      <c r="D28" s="11">
        <f t="shared" si="92"/>
        <v>5</v>
      </c>
      <c r="E28" s="11">
        <f t="shared" si="92"/>
        <v>10</v>
      </c>
      <c r="F28" s="11">
        <f t="shared" si="92"/>
        <v>7</v>
      </c>
      <c r="G28" s="11">
        <f t="shared" si="92"/>
        <v>10</v>
      </c>
      <c r="H28" s="12">
        <f t="shared" si="87"/>
        <v>10</v>
      </c>
      <c r="I28" s="11">
        <f t="shared" si="88"/>
        <v>60</v>
      </c>
      <c r="K28" s="6">
        <v>0.11666666666666667</v>
      </c>
      <c r="L28" s="6">
        <v>0.0</v>
      </c>
      <c r="M28" s="6">
        <v>0.13333333333333333</v>
      </c>
      <c r="N28" s="6">
        <v>0.31666666666666665</v>
      </c>
      <c r="O28" s="6">
        <v>0.43333333333333335</v>
      </c>
      <c r="P28" s="6">
        <f t="shared" si="89"/>
        <v>0.75</v>
      </c>
      <c r="Q28" s="6">
        <f t="shared" si="90"/>
        <v>1</v>
      </c>
      <c r="R28" s="6">
        <v>0.10170940170940172</v>
      </c>
      <c r="S28" s="6">
        <v>0.0</v>
      </c>
      <c r="T28" s="6">
        <v>0.13663003663003664</v>
      </c>
      <c r="U28" s="6">
        <v>0.3362026862026862</v>
      </c>
      <c r="V28" s="6">
        <v>0.42545787545787545</v>
      </c>
      <c r="W28" s="6">
        <f t="shared" si="91"/>
        <v>0.7616605617</v>
      </c>
    </row>
    <row r="29">
      <c r="A29" s="5" t="str">
        <f>IFERROR(__xludf.DUMMYFUNCTION("""COMPUTED_VALUE"""),"['need', 'half', 'sub', 'second', 'lead', '2nd']")</f>
        <v>['need', 'half', 'sub', 'second', 'lead', '2nd']</v>
      </c>
      <c r="B29" s="11">
        <f t="shared" ref="B29:G29" si="93">IFNA(INDEX(INDIRECT(B$5 &amp; "!A:ZZ"), 8, MATCH($A29, INDIRECT(INDEX(B$5,0) &amp; "!$9:$9"), 0) + 1))</f>
        <v>12</v>
      </c>
      <c r="C29" s="11">
        <f t="shared" si="93"/>
        <v>14</v>
      </c>
      <c r="D29" s="11">
        <f t="shared" si="93"/>
        <v>13</v>
      </c>
      <c r="E29" s="11">
        <f t="shared" si="93"/>
        <v>8</v>
      </c>
      <c r="F29" s="11">
        <f t="shared" si="93"/>
        <v>7</v>
      </c>
      <c r="G29" s="11">
        <f t="shared" si="93"/>
        <v>6</v>
      </c>
      <c r="H29" s="12">
        <f t="shared" si="87"/>
        <v>10</v>
      </c>
      <c r="I29" s="11">
        <f t="shared" si="88"/>
        <v>60</v>
      </c>
      <c r="K29" s="6">
        <v>0.11666666666666667</v>
      </c>
      <c r="L29" s="6">
        <v>0.016666666666666666</v>
      </c>
      <c r="M29" s="6">
        <v>0.16666666666666666</v>
      </c>
      <c r="N29" s="6">
        <v>0.5</v>
      </c>
      <c r="O29" s="6">
        <v>0.2</v>
      </c>
      <c r="P29" s="6">
        <f t="shared" si="89"/>
        <v>0.7</v>
      </c>
      <c r="Q29" s="6">
        <f t="shared" si="90"/>
        <v>1</v>
      </c>
      <c r="R29" s="6">
        <v>0.12393162393162392</v>
      </c>
      <c r="S29" s="6">
        <v>0.013888888888888888</v>
      </c>
      <c r="T29" s="6">
        <v>0.1427045177045177</v>
      </c>
      <c r="U29" s="6">
        <v>0.5322039072039072</v>
      </c>
      <c r="V29" s="6">
        <v>0.18727106227106227</v>
      </c>
      <c r="W29" s="6">
        <f t="shared" si="91"/>
        <v>0.7194749695</v>
      </c>
    </row>
    <row r="30">
      <c r="A30" s="5" t="str">
        <f>IFERROR(__xludf.DUMMYFUNCTION("""COMPUTED_VALUE"""),"['touch', 'cross', 'ball', 'pass']")</f>
        <v>['touch', 'cross', 'ball', 'pass']</v>
      </c>
      <c r="B30" s="11">
        <f t="shared" ref="B30:G30" si="94">IFNA(INDEX(INDIRECT(B$5 &amp; "!A:ZZ"), 8, MATCH($A30, INDIRECT(INDEX(B$5,0) &amp; "!$9:$9"), 0) + 1))</f>
        <v>20</v>
      </c>
      <c r="C30" s="11">
        <f t="shared" si="94"/>
        <v>11</v>
      </c>
      <c r="D30" s="11">
        <f t="shared" si="94"/>
        <v>11</v>
      </c>
      <c r="E30" s="11">
        <f t="shared" si="94"/>
        <v>10</v>
      </c>
      <c r="F30" s="11">
        <f t="shared" si="94"/>
        <v>2</v>
      </c>
      <c r="G30" s="11">
        <f t="shared" si="94"/>
        <v>14</v>
      </c>
      <c r="H30" s="12">
        <f t="shared" si="87"/>
        <v>11.33333333</v>
      </c>
      <c r="I30" s="11">
        <f t="shared" si="88"/>
        <v>68</v>
      </c>
      <c r="K30" s="6">
        <v>0.014705882352941176</v>
      </c>
      <c r="L30" s="6">
        <v>0.07352941176470588</v>
      </c>
      <c r="M30" s="6">
        <v>0.0</v>
      </c>
      <c r="N30" s="6">
        <v>0.20588235294117646</v>
      </c>
      <c r="O30" s="6">
        <v>0.7058823529411765</v>
      </c>
      <c r="P30" s="6">
        <f t="shared" si="89"/>
        <v>0.9117647059</v>
      </c>
      <c r="Q30" s="6">
        <f t="shared" si="90"/>
        <v>1</v>
      </c>
      <c r="R30" s="6">
        <v>0.015151515151515152</v>
      </c>
      <c r="S30" s="6">
        <v>0.0488095238095238</v>
      </c>
      <c r="T30" s="6">
        <v>0.0</v>
      </c>
      <c r="U30" s="6">
        <v>0.23798701298701297</v>
      </c>
      <c r="V30" s="6">
        <v>0.698051948051948</v>
      </c>
      <c r="W30" s="6">
        <f t="shared" si="91"/>
        <v>0.936038961</v>
      </c>
    </row>
    <row r="31">
      <c r="A31" s="5" t="str">
        <f>IFERROR(__xludf.DUMMYFUNCTION("""COMPUTED_VALUE"""),"['foul', 'refere', 'book', 'decis', 'var', 'given', 'pen', 'dive', 'ref', 'penalti']")</f>
        <v>['foul', 'refere', 'book', 'decis', 'var', 'given', 'pen', 'dive', 'ref', 'penalti']</v>
      </c>
      <c r="B31" s="11">
        <f t="shared" ref="B31:G31" si="95">IFNA(INDEX(INDIRECT(B$5 &amp; "!A:ZZ"), 8, MATCH($A31, INDIRECT(INDEX(B$5,0) &amp; "!$9:$9"), 0) + 1))</f>
        <v>9</v>
      </c>
      <c r="C31" s="11">
        <f t="shared" si="95"/>
        <v>3</v>
      </c>
      <c r="D31" s="11">
        <f t="shared" si="95"/>
        <v>2</v>
      </c>
      <c r="E31" s="11">
        <f t="shared" si="95"/>
        <v>10</v>
      </c>
      <c r="F31" s="11">
        <f t="shared" si="95"/>
        <v>5</v>
      </c>
      <c r="G31" s="11">
        <f t="shared" si="95"/>
        <v>1</v>
      </c>
      <c r="H31" s="12">
        <f t="shared" si="87"/>
        <v>5</v>
      </c>
      <c r="I31" s="11">
        <f t="shared" si="88"/>
        <v>30</v>
      </c>
      <c r="K31" s="6">
        <v>0.06666666666666667</v>
      </c>
      <c r="L31" s="6">
        <v>0.1</v>
      </c>
      <c r="M31" s="6">
        <v>0.13333333333333333</v>
      </c>
      <c r="N31" s="6">
        <v>0.23333333333333334</v>
      </c>
      <c r="O31" s="6">
        <v>0.4666666666666667</v>
      </c>
      <c r="P31" s="6">
        <f t="shared" si="89"/>
        <v>0.7</v>
      </c>
      <c r="Q31" s="6">
        <f t="shared" si="90"/>
        <v>1</v>
      </c>
      <c r="R31" s="6">
        <v>0.03518518518518519</v>
      </c>
      <c r="S31" s="6">
        <v>0.06851851851851852</v>
      </c>
      <c r="T31" s="6">
        <v>0.15555555555555556</v>
      </c>
      <c r="U31" s="6">
        <v>0.25555555555555554</v>
      </c>
      <c r="V31" s="6">
        <v>0.4851851851851852</v>
      </c>
      <c r="W31" s="6">
        <f t="shared" si="91"/>
        <v>0.7407407407</v>
      </c>
    </row>
    <row r="32">
      <c r="A32" s="5" t="str">
        <f>IFERROR(__xludf.DUMMYFUNCTION("""COMPUTED_VALUE"""),"['tackl', 'dribbl', 'yellow', 'red', 'card']")</f>
        <v>['tackl', 'dribbl', 'yellow', 'red', 'card']</v>
      </c>
      <c r="B32" s="11">
        <f t="shared" ref="B32:G32" si="96">IFNA(INDEX(INDIRECT(B$5 &amp; "!A:ZZ"), 8, MATCH($A32, INDIRECT(INDEX(B$5,0) &amp; "!$9:$9"), 0) + 1))</f>
        <v>3</v>
      </c>
      <c r="C32" s="11">
        <f t="shared" si="96"/>
        <v>1</v>
      </c>
      <c r="D32" s="11">
        <f t="shared" si="96"/>
        <v>3</v>
      </c>
      <c r="E32" s="11">
        <f t="shared" si="96"/>
        <v>7</v>
      </c>
      <c r="F32" s="11" t="str">
        <f t="shared" si="96"/>
        <v/>
      </c>
      <c r="G32" s="11">
        <f t="shared" si="96"/>
        <v>3</v>
      </c>
      <c r="H32" s="12">
        <f t="shared" si="87"/>
        <v>2.833333333</v>
      </c>
      <c r="I32" s="11">
        <f t="shared" si="88"/>
        <v>17</v>
      </c>
      <c r="K32" s="6">
        <v>0.0</v>
      </c>
      <c r="L32" s="6">
        <v>0.058823529411764705</v>
      </c>
      <c r="M32" s="6">
        <v>0.058823529411764705</v>
      </c>
      <c r="N32" s="6">
        <v>0.5882352941176471</v>
      </c>
      <c r="O32" s="6">
        <v>0.29411764705882354</v>
      </c>
      <c r="P32" s="6">
        <f t="shared" si="89"/>
        <v>0.8823529412</v>
      </c>
      <c r="Q32" s="6">
        <f t="shared" si="90"/>
        <v>1</v>
      </c>
      <c r="R32" s="6">
        <v>0.0</v>
      </c>
      <c r="S32" s="6">
        <v>0.023809523809523808</v>
      </c>
      <c r="T32" s="6">
        <v>0.05555555555555555</v>
      </c>
      <c r="U32" s="6">
        <v>0.4285714285714286</v>
      </c>
      <c r="V32" s="6">
        <v>0.3253968253968254</v>
      </c>
      <c r="W32" s="6">
        <f t="shared" si="91"/>
        <v>0.753968254</v>
      </c>
    </row>
    <row r="33">
      <c r="A33" s="5" t="str">
        <f>IFERROR(__xludf.DUMMYFUNCTION("""COMPUTED_VALUE"""),"['gol', 'stream', 'onlin', 'free', 'reddit', 'link', 'EXCLUDED-manchest', 'ff', 'live']")</f>
        <v>['gol', 'stream', 'onlin', 'free', 'reddit', 'link', 'EXCLUDED-manchest', 'ff', 'live']</v>
      </c>
      <c r="B33" s="11">
        <f t="shared" ref="B33:G33" si="97">IFNA(INDEX(INDIRECT(B$5 &amp; "!A:ZZ"), 8, MATCH($A33, INDIRECT(INDEX(B$5,0) &amp; "!$9:$9"), 0) + 1))</f>
        <v>7</v>
      </c>
      <c r="C33" s="11">
        <f t="shared" si="97"/>
        <v>4</v>
      </c>
      <c r="D33" s="11">
        <f t="shared" si="97"/>
        <v>5</v>
      </c>
      <c r="E33" s="11">
        <f t="shared" si="97"/>
        <v>5</v>
      </c>
      <c r="F33" s="11">
        <f t="shared" si="97"/>
        <v>2</v>
      </c>
      <c r="G33" s="11">
        <f t="shared" si="97"/>
        <v>5</v>
      </c>
      <c r="H33" s="12">
        <f t="shared" si="87"/>
        <v>4.666666667</v>
      </c>
      <c r="I33" s="11">
        <f t="shared" si="88"/>
        <v>28</v>
      </c>
      <c r="K33" s="6">
        <v>0.0</v>
      </c>
      <c r="L33" s="6">
        <v>0.07142857142857142</v>
      </c>
      <c r="M33" s="6">
        <v>0.07142857142857142</v>
      </c>
      <c r="N33" s="6">
        <v>0.6071428571428571</v>
      </c>
      <c r="O33" s="6">
        <v>0.25</v>
      </c>
      <c r="P33" s="6">
        <f t="shared" si="89"/>
        <v>0.8571428571</v>
      </c>
      <c r="Q33" s="6">
        <f t="shared" si="90"/>
        <v>1</v>
      </c>
      <c r="R33" s="6">
        <v>0.0</v>
      </c>
      <c r="S33" s="6">
        <v>0.05714285714285714</v>
      </c>
      <c r="T33" s="6">
        <v>0.05714285714285714</v>
      </c>
      <c r="U33" s="6">
        <v>0.6630952380952381</v>
      </c>
      <c r="V33" s="6">
        <v>0.22261904761904763</v>
      </c>
      <c r="W33" s="6">
        <f t="shared" si="91"/>
        <v>0.8857142857</v>
      </c>
    </row>
    <row r="34">
      <c r="A34" s="5" t="str">
        <f>IFERROR(__xludf.DUMMYFUNCTION("""COMPUTED_VALUE"""),"['deflect', 'kick', 'corner', 'shot', 'net']")</f>
        <v>['deflect', 'kick', 'corner', 'shot', 'net']</v>
      </c>
      <c r="B34" s="11">
        <f t="shared" ref="B34:G34" si="98">IFNA(INDEX(INDIRECT(B$5 &amp; "!A:ZZ"), 8, MATCH($A34, INDIRECT(INDEX(B$5,0) &amp; "!$9:$9"), 0) + 1))</f>
        <v>7</v>
      </c>
      <c r="C34" s="11">
        <f t="shared" si="98"/>
        <v>7</v>
      </c>
      <c r="D34" s="11">
        <f t="shared" si="98"/>
        <v>3</v>
      </c>
      <c r="E34" s="11">
        <f t="shared" si="98"/>
        <v>2</v>
      </c>
      <c r="F34" s="11">
        <f t="shared" si="98"/>
        <v>2</v>
      </c>
      <c r="G34" s="11">
        <f t="shared" si="98"/>
        <v>6</v>
      </c>
      <c r="H34" s="12">
        <f t="shared" si="87"/>
        <v>4.5</v>
      </c>
      <c r="I34" s="11">
        <f t="shared" si="88"/>
        <v>27</v>
      </c>
      <c r="K34" s="6">
        <v>0.07407407407407407</v>
      </c>
      <c r="L34" s="6">
        <v>0.0</v>
      </c>
      <c r="M34" s="6">
        <v>0.037037037037037035</v>
      </c>
      <c r="N34" s="6">
        <v>0.37037037037037035</v>
      </c>
      <c r="O34" s="6">
        <v>0.5185185185185185</v>
      </c>
      <c r="P34" s="6">
        <f t="shared" si="89"/>
        <v>0.8888888889</v>
      </c>
      <c r="Q34" s="6">
        <f t="shared" si="90"/>
        <v>1</v>
      </c>
      <c r="R34" s="6">
        <v>0.047619047619047616</v>
      </c>
      <c r="S34" s="6">
        <v>0.0</v>
      </c>
      <c r="T34" s="6">
        <v>0.023809523809523808</v>
      </c>
      <c r="U34" s="6">
        <v>0.3452380952380952</v>
      </c>
      <c r="V34" s="6">
        <v>0.5833333333333334</v>
      </c>
      <c r="W34" s="6">
        <f t="shared" si="91"/>
        <v>0.9285714286</v>
      </c>
    </row>
    <row r="35">
      <c r="A35" s="5" t="str">
        <f>IFERROR(__xludf.DUMMYFUNCTION("""COMPUTED_VALUE"""),"['world', 'class', 'striker']")</f>
        <v>['world', 'class', 'striker']</v>
      </c>
      <c r="B35" s="11">
        <f t="shared" ref="B35:G35" si="99">IFNA(INDEX(INDIRECT(B$5 &amp; "!A:ZZ"), 8, MATCH($A35, INDIRECT(INDEX(B$5,0) &amp; "!$9:$9"), 0) + 1))</f>
        <v>4</v>
      </c>
      <c r="C35" s="11">
        <f t="shared" si="99"/>
        <v>4</v>
      </c>
      <c r="D35" s="11">
        <f t="shared" si="99"/>
        <v>1</v>
      </c>
      <c r="E35" s="11" t="str">
        <f t="shared" si="99"/>
        <v/>
      </c>
      <c r="F35" s="11">
        <f t="shared" si="99"/>
        <v>1</v>
      </c>
      <c r="G35" s="11">
        <f t="shared" si="99"/>
        <v>8</v>
      </c>
      <c r="H35" s="12">
        <f t="shared" si="87"/>
        <v>3</v>
      </c>
      <c r="I35" s="11">
        <f t="shared" si="88"/>
        <v>18</v>
      </c>
      <c r="K35" s="6">
        <v>0.1111111111111111</v>
      </c>
      <c r="L35" s="6">
        <v>0.1111111111111111</v>
      </c>
      <c r="M35" s="6">
        <v>0.4444444444444444</v>
      </c>
      <c r="N35" s="6">
        <v>0.16666666666666666</v>
      </c>
      <c r="O35" s="6">
        <v>0.16666666666666666</v>
      </c>
      <c r="P35" s="6">
        <f t="shared" si="89"/>
        <v>0.3333333333</v>
      </c>
      <c r="Q35" s="6">
        <f t="shared" si="90"/>
        <v>1</v>
      </c>
      <c r="R35" s="6">
        <v>0.041666666666666664</v>
      </c>
      <c r="S35" s="6">
        <v>0.041666666666666664</v>
      </c>
      <c r="T35" s="6">
        <v>0.5833333333333334</v>
      </c>
      <c r="U35" s="6">
        <v>0.08333333333333333</v>
      </c>
      <c r="V35" s="6">
        <v>0.08333333333333333</v>
      </c>
      <c r="W35" s="6">
        <f t="shared" si="91"/>
        <v>0.1666666667</v>
      </c>
    </row>
    <row r="36">
      <c r="A36" s="5" t="str">
        <f>IFERROR(__xludf.DUMMYFUNCTION("""COMPUTED_VALUE"""),"['keeper', 'best', 'goalkeep', 'defend', 'EXCLUDED-kepa', 'save']")</f>
        <v>['keeper', 'best', 'goalkeep', 'defend', 'EXCLUDED-kepa', 'save']</v>
      </c>
      <c r="B36" s="11">
        <f t="shared" ref="B36:G36" si="100">IFNA(INDEX(INDIRECT(B$5 &amp; "!A:ZZ"), 8, MATCH($A36, INDIRECT(INDEX(B$5,0) &amp; "!$9:$9"), 0) + 1))</f>
        <v>5</v>
      </c>
      <c r="C36" s="11">
        <f t="shared" si="100"/>
        <v>11</v>
      </c>
      <c r="D36" s="11">
        <f t="shared" si="100"/>
        <v>3</v>
      </c>
      <c r="E36" s="11">
        <f t="shared" si="100"/>
        <v>4</v>
      </c>
      <c r="F36" s="11">
        <f t="shared" si="100"/>
        <v>9</v>
      </c>
      <c r="G36" s="11">
        <f t="shared" si="100"/>
        <v>9</v>
      </c>
      <c r="H36" s="12">
        <f t="shared" si="87"/>
        <v>6.833333333</v>
      </c>
      <c r="I36" s="11">
        <f t="shared" si="88"/>
        <v>41</v>
      </c>
      <c r="K36" s="6">
        <v>0.04878048780487805</v>
      </c>
      <c r="L36" s="6">
        <v>0.0975609756097561</v>
      </c>
      <c r="M36" s="6">
        <v>0.1951219512195122</v>
      </c>
      <c r="N36" s="6">
        <v>0.21951219512195122</v>
      </c>
      <c r="O36" s="6">
        <v>0.43902439024390244</v>
      </c>
      <c r="P36" s="6">
        <f t="shared" si="89"/>
        <v>0.6585365854</v>
      </c>
      <c r="Q36" s="6">
        <f t="shared" si="90"/>
        <v>1</v>
      </c>
      <c r="R36" s="6">
        <v>0.037037037037037035</v>
      </c>
      <c r="S36" s="6">
        <v>0.13425925925925927</v>
      </c>
      <c r="T36" s="6">
        <v>0.13468013468013468</v>
      </c>
      <c r="U36" s="6">
        <v>0.2611952861952862</v>
      </c>
      <c r="V36" s="6">
        <v>0.43282828282828284</v>
      </c>
      <c r="W36" s="6">
        <f t="shared" si="91"/>
        <v>0.694023569</v>
      </c>
    </row>
    <row r="37">
      <c r="A37" s="5" t="str">
        <f>IFERROR(__xludf.DUMMYFUNCTION("""COMPUTED_VALUE"""),"['hit', 'post']")</f>
        <v>['hit', 'post']</v>
      </c>
      <c r="B37" s="11" t="str">
        <f t="shared" ref="B37:G37" si="101">IFNA(INDEX(INDIRECT(B$5 &amp; "!A:ZZ"), 8, MATCH($A37, INDIRECT(INDEX(B$5,0) &amp; "!$9:$9"), 0) + 1))</f>
        <v/>
      </c>
      <c r="C37" s="11">
        <f t="shared" si="101"/>
        <v>1</v>
      </c>
      <c r="D37" s="11" t="str">
        <f t="shared" si="101"/>
        <v/>
      </c>
      <c r="E37" s="11">
        <f t="shared" si="101"/>
        <v>1</v>
      </c>
      <c r="F37" s="11">
        <f t="shared" si="101"/>
        <v>1</v>
      </c>
      <c r="G37" s="11">
        <f t="shared" si="101"/>
        <v>1</v>
      </c>
      <c r="H37" s="12">
        <f t="shared" si="87"/>
        <v>0.6666666667</v>
      </c>
      <c r="I37" s="11">
        <f t="shared" si="88"/>
        <v>4</v>
      </c>
      <c r="K37" s="6">
        <v>0.0</v>
      </c>
      <c r="L37" s="6">
        <v>0.0</v>
      </c>
      <c r="M37" s="6">
        <v>0.0</v>
      </c>
      <c r="N37" s="6">
        <v>0.25</v>
      </c>
      <c r="O37" s="6">
        <v>0.75</v>
      </c>
      <c r="P37" s="6">
        <f t="shared" si="89"/>
        <v>1</v>
      </c>
      <c r="Q37" s="6">
        <f t="shared" si="90"/>
        <v>1</v>
      </c>
      <c r="R37" s="6">
        <v>0.0</v>
      </c>
      <c r="S37" s="6">
        <v>0.0</v>
      </c>
      <c r="T37" s="6">
        <v>0.0</v>
      </c>
      <c r="U37" s="6">
        <v>0.16666666666666666</v>
      </c>
      <c r="V37" s="6">
        <v>0.5</v>
      </c>
      <c r="W37" s="6">
        <f t="shared" si="91"/>
        <v>0.6666666667</v>
      </c>
    </row>
    <row r="38">
      <c r="A38" s="5" t="str">
        <f>IFERROR(__xludf.DUMMYFUNCTION("""COMPUTED_VALUE"""),"['EXCLUDED-man', 'utd']")</f>
        <v>['EXCLUDED-man', 'utd']</v>
      </c>
      <c r="B38" s="11" t="str">
        <f t="shared" ref="B38:G38" si="102">IFNA(INDEX(INDIRECT(B$5 &amp; "!A:ZZ"), 8, MATCH($A38, INDIRECT(INDEX(B$5,0) &amp; "!$9:$9"), 0) + 1))</f>
        <v/>
      </c>
      <c r="C38" s="11" t="str">
        <f t="shared" si="102"/>
        <v/>
      </c>
      <c r="D38" s="11" t="str">
        <f t="shared" si="102"/>
        <v/>
      </c>
      <c r="E38" s="11">
        <f t="shared" si="102"/>
        <v>7</v>
      </c>
      <c r="F38" s="11" t="str">
        <f t="shared" si="102"/>
        <v/>
      </c>
      <c r="G38" s="11" t="str">
        <f t="shared" si="102"/>
        <v/>
      </c>
      <c r="H38" s="12">
        <f t="shared" si="87"/>
        <v>1.166666667</v>
      </c>
      <c r="I38" s="11">
        <f t="shared" si="88"/>
        <v>7</v>
      </c>
      <c r="K38" s="6">
        <v>0.0</v>
      </c>
      <c r="L38" s="6">
        <v>0.0</v>
      </c>
      <c r="M38" s="6">
        <v>0.14285714285714285</v>
      </c>
      <c r="N38" s="6">
        <v>0.5714285714285714</v>
      </c>
      <c r="O38" s="6">
        <v>0.2857142857142857</v>
      </c>
      <c r="P38" s="6">
        <f t="shared" si="89"/>
        <v>0.8571428571</v>
      </c>
      <c r="Q38" s="6">
        <f t="shared" si="90"/>
        <v>1</v>
      </c>
      <c r="R38" s="6">
        <v>0.0</v>
      </c>
      <c r="S38" s="6">
        <v>0.0</v>
      </c>
      <c r="T38" s="6">
        <v>0.023809523809523808</v>
      </c>
      <c r="U38" s="6">
        <v>0.09523809523809523</v>
      </c>
      <c r="V38" s="6">
        <v>0.047619047619047616</v>
      </c>
      <c r="W38" s="6">
        <f t="shared" si="91"/>
        <v>0.1428571429</v>
      </c>
    </row>
    <row r="39">
      <c r="G39" s="1" t="s">
        <v>28</v>
      </c>
      <c r="H39" s="13">
        <f>CORREL(I9:I21,H26:H38)</f>
        <v>-0.4023102073</v>
      </c>
    </row>
    <row r="40">
      <c r="B40" s="1" t="s">
        <v>29</v>
      </c>
    </row>
    <row r="41">
      <c r="A41" s="1" t="s">
        <v>19</v>
      </c>
      <c r="B41" s="1" t="s">
        <v>1</v>
      </c>
      <c r="C41" s="1" t="s">
        <v>2</v>
      </c>
      <c r="D41" s="1" t="s">
        <v>3</v>
      </c>
      <c r="E41" s="1" t="s">
        <v>4</v>
      </c>
      <c r="F41" s="1" t="s">
        <v>5</v>
      </c>
      <c r="G41" s="1" t="s">
        <v>6</v>
      </c>
      <c r="H41" s="1" t="s">
        <v>20</v>
      </c>
      <c r="I41" s="9" t="s">
        <v>26</v>
      </c>
    </row>
    <row r="42">
      <c r="A42" s="5" t="str">
        <f>IFERROR(__xludf.DUMMYFUNCTION("FILTER(UNIQUE({TRANSPOSE(INDEX(INDIRECT(INDEX($B$5) &amp; ""!E$9:9""))); TRANSPOSE(INDEX(INDIRECT(INDEX($C$5) &amp; ""!E$9:9""))); TRANSPOSE(INDEX(INDIRECT(INDEX($D$5) &amp; ""!E$9:9""))); TRANSPOSE(INDEX(INDIRECT(INDEX($E$5) &amp; ""!E$9:9""))); TRANSPOSE(INDEX(INDIRECT"&amp;"(INDEX($F$5) &amp; ""!E$9:9""))); TRANSPOSE(INDEX(INDIRECT(INDEX($G$5) &amp; ""!E$9:9"")))}), LEN(UNIQUE({TRANSPOSE(INDEX(INDIRECT(INDEX($B$5) &amp; ""!E$9:9""))); TRANSPOSE(INDEX(INDIRECT(INDEX($C$5) &amp; ""!E$9:9""))); TRANSPOSE(INDEX(INDIRECT(INDEX($D$5) &amp; ""!E$9:9"""&amp;"))); TRANSPOSE(INDEX(INDIRECT(INDEX($E$5) &amp; ""!E$9:9""))); TRANSPOSE(INDEX(INDIRECT(INDEX($F$5) &amp; ""!E$9:9""))); TRANSPOSE(INDEX(INDIRECT(INDEX($G$5) &amp; ""!E$9:9"")))})))"),"['champion', 'final', 'leagu', 'footbal', 'win']")</f>
        <v>['champion', 'final', 'leagu', 'footbal', 'win']</v>
      </c>
      <c r="B42" s="5">
        <f t="shared" ref="B42:G42" si="103">B26*B9</f>
        <v>12</v>
      </c>
      <c r="C42" s="5">
        <f t="shared" si="103"/>
        <v>10</v>
      </c>
      <c r="D42" s="5">
        <f t="shared" si="103"/>
        <v>4</v>
      </c>
      <c r="E42" s="5">
        <f t="shared" si="103"/>
        <v>6</v>
      </c>
      <c r="F42" s="5">
        <f t="shared" si="103"/>
        <v>7</v>
      </c>
      <c r="G42" s="5">
        <f t="shared" si="103"/>
        <v>7</v>
      </c>
      <c r="H42" s="12">
        <f t="shared" ref="H42:H54" si="105">SUM(B42:G42)/6</f>
        <v>7.666666667</v>
      </c>
      <c r="I42" s="5">
        <f t="shared" ref="I42:I54" si="106">SUM(B42:G42)</f>
        <v>46</v>
      </c>
    </row>
    <row r="43">
      <c r="A43" s="5" t="str">
        <f>IFERROR(__xludf.DUMMYFUNCTION("""COMPUTED_VALUE"""),"['take', 'knee', 'player']")</f>
        <v>['take', 'knee', 'player']</v>
      </c>
      <c r="B43" s="5">
        <f t="shared" ref="B43:G43" si="104">B27*B10</f>
        <v>14</v>
      </c>
      <c r="C43" s="5">
        <f t="shared" si="104"/>
        <v>7</v>
      </c>
      <c r="D43" s="5">
        <f t="shared" si="104"/>
        <v>4</v>
      </c>
      <c r="E43" s="5">
        <f t="shared" si="104"/>
        <v>2</v>
      </c>
      <c r="F43" s="5">
        <f t="shared" si="104"/>
        <v>4</v>
      </c>
      <c r="G43" s="5">
        <f t="shared" si="104"/>
        <v>6</v>
      </c>
      <c r="H43" s="12">
        <f t="shared" si="105"/>
        <v>6.166666667</v>
      </c>
      <c r="I43" s="5">
        <f t="shared" si="106"/>
        <v>37</v>
      </c>
    </row>
    <row r="44">
      <c r="A44" s="5" t="str">
        <f>IFERROR(__xludf.DUMMYFUNCTION("""COMPUTED_VALUE"""),"['goal', 'score', 'conced', 'equalis', 'offsid', 'assist']")</f>
        <v>['goal', 'score', 'conced', 'equalis', 'offsid', 'assist']</v>
      </c>
      <c r="B44" s="5">
        <f t="shared" ref="B44:G44" si="107">B28*B11</f>
        <v>10</v>
      </c>
      <c r="C44" s="5">
        <f t="shared" si="107"/>
        <v>11</v>
      </c>
      <c r="D44" s="5">
        <f t="shared" si="107"/>
        <v>4</v>
      </c>
      <c r="E44" s="5">
        <f t="shared" si="107"/>
        <v>7</v>
      </c>
      <c r="F44" s="5">
        <f t="shared" si="107"/>
        <v>6</v>
      </c>
      <c r="G44" s="5">
        <f t="shared" si="107"/>
        <v>7</v>
      </c>
      <c r="H44" s="12">
        <f t="shared" si="105"/>
        <v>7.5</v>
      </c>
      <c r="I44" s="5">
        <f t="shared" si="106"/>
        <v>45</v>
      </c>
    </row>
    <row r="45">
      <c r="A45" s="5" t="str">
        <f>IFERROR(__xludf.DUMMYFUNCTION("""COMPUTED_VALUE"""),"['need', 'half', 'sub', 'second', 'lead', '2nd']")</f>
        <v>['need', 'half', 'sub', 'second', 'lead', '2nd']</v>
      </c>
      <c r="B45" s="5">
        <f t="shared" ref="B45:G45" si="108">B29*B12</f>
        <v>9</v>
      </c>
      <c r="C45" s="5">
        <f t="shared" si="108"/>
        <v>7</v>
      </c>
      <c r="D45" s="5">
        <f t="shared" si="108"/>
        <v>10</v>
      </c>
      <c r="E45" s="5">
        <f t="shared" si="108"/>
        <v>6</v>
      </c>
      <c r="F45" s="5">
        <f t="shared" si="108"/>
        <v>5</v>
      </c>
      <c r="G45" s="5">
        <f t="shared" si="108"/>
        <v>5</v>
      </c>
      <c r="H45" s="12">
        <f t="shared" si="105"/>
        <v>7</v>
      </c>
      <c r="I45" s="5">
        <f t="shared" si="106"/>
        <v>42</v>
      </c>
    </row>
    <row r="46">
      <c r="A46" s="5" t="str">
        <f>IFERROR(__xludf.DUMMYFUNCTION("""COMPUTED_VALUE"""),"['touch', 'cross', 'ball', 'pass']")</f>
        <v>['touch', 'cross', 'ball', 'pass']</v>
      </c>
      <c r="B46" s="5">
        <f t="shared" ref="B46:G46" si="109">B30*B13</f>
        <v>17</v>
      </c>
      <c r="C46" s="5">
        <f t="shared" si="109"/>
        <v>10</v>
      </c>
      <c r="D46" s="5">
        <f t="shared" si="109"/>
        <v>11</v>
      </c>
      <c r="E46" s="5">
        <f t="shared" si="109"/>
        <v>10</v>
      </c>
      <c r="F46" s="5">
        <f t="shared" si="109"/>
        <v>2</v>
      </c>
      <c r="G46" s="5">
        <f t="shared" si="109"/>
        <v>12</v>
      </c>
      <c r="H46" s="12">
        <f t="shared" si="105"/>
        <v>10.33333333</v>
      </c>
      <c r="I46" s="5">
        <f t="shared" si="106"/>
        <v>62</v>
      </c>
    </row>
    <row r="47">
      <c r="A47" s="5" t="str">
        <f>IFERROR(__xludf.DUMMYFUNCTION("""COMPUTED_VALUE"""),"['foul', 'refere', 'book', 'decis', 'var', 'given', 'pen', 'dive', 'ref', 'penalti']")</f>
        <v>['foul', 'refere', 'book', 'decis', 'var', 'given', 'pen', 'dive', 'ref', 'penalti']</v>
      </c>
      <c r="B47" s="5">
        <f t="shared" ref="B47:G47" si="110">B31*B14</f>
        <v>7</v>
      </c>
      <c r="C47" s="5">
        <f t="shared" si="110"/>
        <v>2</v>
      </c>
      <c r="D47" s="5">
        <f t="shared" si="110"/>
        <v>2</v>
      </c>
      <c r="E47" s="5">
        <f t="shared" si="110"/>
        <v>8</v>
      </c>
      <c r="F47" s="5">
        <f t="shared" si="110"/>
        <v>1</v>
      </c>
      <c r="G47" s="5">
        <f t="shared" si="110"/>
        <v>1</v>
      </c>
      <c r="H47" s="12">
        <f t="shared" si="105"/>
        <v>3.5</v>
      </c>
      <c r="I47" s="5">
        <f t="shared" si="106"/>
        <v>21</v>
      </c>
    </row>
    <row r="48">
      <c r="A48" s="5" t="str">
        <f>IFERROR(__xludf.DUMMYFUNCTION("""COMPUTED_VALUE"""),"['tackl', 'dribbl', 'yellow', 'red', 'card']")</f>
        <v>['tackl', 'dribbl', 'yellow', 'red', 'card']</v>
      </c>
      <c r="B48" s="5">
        <f t="shared" ref="B48:G48" si="111">B32*B15</f>
        <v>3</v>
      </c>
      <c r="C48" s="5">
        <f t="shared" si="111"/>
        <v>1</v>
      </c>
      <c r="D48" s="5">
        <f t="shared" si="111"/>
        <v>3</v>
      </c>
      <c r="E48" s="5">
        <f t="shared" si="111"/>
        <v>6</v>
      </c>
      <c r="F48" s="5">
        <f t="shared" si="111"/>
        <v>0</v>
      </c>
      <c r="G48" s="5">
        <f t="shared" si="111"/>
        <v>2</v>
      </c>
      <c r="H48" s="12">
        <f t="shared" si="105"/>
        <v>2.5</v>
      </c>
      <c r="I48" s="5">
        <f t="shared" si="106"/>
        <v>15</v>
      </c>
    </row>
    <row r="49">
      <c r="A49" s="5" t="str">
        <f>IFERROR(__xludf.DUMMYFUNCTION("""COMPUTED_VALUE"""),"['gol', 'stream', 'onlin', 'free', 'reddit', 'link', 'EXCLUDED-manchest', 'ff', 'live']")</f>
        <v>['gol', 'stream', 'onlin', 'free', 'reddit', 'link', 'EXCLUDED-manchest', 'ff', 'live']</v>
      </c>
      <c r="B49" s="5">
        <f t="shared" ref="B49:G49" si="112">B33*B16</f>
        <v>5</v>
      </c>
      <c r="C49" s="5">
        <f t="shared" si="112"/>
        <v>4</v>
      </c>
      <c r="D49" s="5">
        <f t="shared" si="112"/>
        <v>5</v>
      </c>
      <c r="E49" s="5">
        <f t="shared" si="112"/>
        <v>4</v>
      </c>
      <c r="F49" s="5">
        <f t="shared" si="112"/>
        <v>2</v>
      </c>
      <c r="G49" s="5">
        <f t="shared" si="112"/>
        <v>4</v>
      </c>
      <c r="H49" s="12">
        <f t="shared" si="105"/>
        <v>4</v>
      </c>
      <c r="I49" s="5">
        <f t="shared" si="106"/>
        <v>24</v>
      </c>
    </row>
    <row r="50">
      <c r="A50" s="5" t="str">
        <f>IFERROR(__xludf.DUMMYFUNCTION("""COMPUTED_VALUE"""),"['deflect', 'kick', 'corner', 'shot', 'net']")</f>
        <v>['deflect', 'kick', 'corner', 'shot', 'net']</v>
      </c>
      <c r="B50" s="5">
        <f t="shared" ref="B50:G50" si="113">B34*B17</f>
        <v>5</v>
      </c>
      <c r="C50" s="5">
        <f t="shared" si="113"/>
        <v>6</v>
      </c>
      <c r="D50" s="5">
        <f t="shared" si="113"/>
        <v>3</v>
      </c>
      <c r="E50" s="5">
        <f t="shared" si="113"/>
        <v>2</v>
      </c>
      <c r="F50" s="5">
        <f t="shared" si="113"/>
        <v>2</v>
      </c>
      <c r="G50" s="5">
        <f t="shared" si="113"/>
        <v>6</v>
      </c>
      <c r="H50" s="12">
        <f t="shared" si="105"/>
        <v>4</v>
      </c>
      <c r="I50" s="5">
        <f t="shared" si="106"/>
        <v>24</v>
      </c>
    </row>
    <row r="51">
      <c r="A51" s="5" t="str">
        <f>IFERROR(__xludf.DUMMYFUNCTION("""COMPUTED_VALUE"""),"['world', 'class', 'striker']")</f>
        <v>['world', 'class', 'striker']</v>
      </c>
      <c r="B51" s="5">
        <f t="shared" ref="B51:G51" si="114">B35*B18</f>
        <v>2</v>
      </c>
      <c r="C51" s="5">
        <f t="shared" si="114"/>
        <v>0</v>
      </c>
      <c r="D51" s="5">
        <f t="shared" si="114"/>
        <v>0</v>
      </c>
      <c r="E51" s="5">
        <f t="shared" si="114"/>
        <v>0</v>
      </c>
      <c r="F51" s="5">
        <f t="shared" si="114"/>
        <v>0</v>
      </c>
      <c r="G51" s="5">
        <f t="shared" si="114"/>
        <v>4</v>
      </c>
      <c r="H51" s="12">
        <f t="shared" si="105"/>
        <v>1</v>
      </c>
      <c r="I51" s="5">
        <f t="shared" si="106"/>
        <v>6</v>
      </c>
    </row>
    <row r="52">
      <c r="A52" s="5" t="str">
        <f>IFERROR(__xludf.DUMMYFUNCTION("""COMPUTED_VALUE"""),"['keeper', 'best', 'goalkeep', 'defend', 'EXCLUDED-kepa', 'save']")</f>
        <v>['keeper', 'best', 'goalkeep', 'defend', 'EXCLUDED-kepa', 'save']</v>
      </c>
      <c r="B52" s="5">
        <f t="shared" ref="B52:G52" si="115">B36*B19</f>
        <v>5</v>
      </c>
      <c r="C52" s="5">
        <f t="shared" si="115"/>
        <v>7</v>
      </c>
      <c r="D52" s="5">
        <f t="shared" si="115"/>
        <v>2</v>
      </c>
      <c r="E52" s="5">
        <f t="shared" si="115"/>
        <v>3</v>
      </c>
      <c r="F52" s="5">
        <f t="shared" si="115"/>
        <v>7</v>
      </c>
      <c r="G52" s="5">
        <f t="shared" si="115"/>
        <v>3</v>
      </c>
      <c r="H52" s="12">
        <f t="shared" si="105"/>
        <v>4.5</v>
      </c>
      <c r="I52" s="5">
        <f t="shared" si="106"/>
        <v>27</v>
      </c>
    </row>
    <row r="53">
      <c r="A53" s="5" t="str">
        <f>IFERROR(__xludf.DUMMYFUNCTION("""COMPUTED_VALUE"""),"['hit', 'post']")</f>
        <v>['hit', 'post']</v>
      </c>
      <c r="B53" s="5">
        <f t="shared" ref="B53:G53" si="116">B37*B20</f>
        <v>0</v>
      </c>
      <c r="C53" s="5">
        <f t="shared" si="116"/>
        <v>1</v>
      </c>
      <c r="D53" s="5">
        <f t="shared" si="116"/>
        <v>0</v>
      </c>
      <c r="E53" s="5">
        <f t="shared" si="116"/>
        <v>1</v>
      </c>
      <c r="F53" s="5">
        <f t="shared" si="116"/>
        <v>1</v>
      </c>
      <c r="G53" s="5">
        <f t="shared" si="116"/>
        <v>1</v>
      </c>
      <c r="H53" s="12">
        <f t="shared" si="105"/>
        <v>0.6666666667</v>
      </c>
      <c r="I53" s="5">
        <f t="shared" si="106"/>
        <v>4</v>
      </c>
    </row>
    <row r="54">
      <c r="A54" s="5" t="str">
        <f>IFERROR(__xludf.DUMMYFUNCTION("""COMPUTED_VALUE"""),"['EXCLUDED-man', 'utd']")</f>
        <v>['EXCLUDED-man', 'utd']</v>
      </c>
      <c r="B54" s="5">
        <f t="shared" ref="B54:G54" si="117">B38*B21</f>
        <v>0</v>
      </c>
      <c r="C54" s="5">
        <f t="shared" si="117"/>
        <v>0</v>
      </c>
      <c r="D54" s="5">
        <f t="shared" si="117"/>
        <v>0</v>
      </c>
      <c r="E54" s="5">
        <f t="shared" si="117"/>
        <v>6</v>
      </c>
      <c r="F54" s="5">
        <f t="shared" si="117"/>
        <v>0</v>
      </c>
      <c r="G54" s="5">
        <f t="shared" si="117"/>
        <v>0</v>
      </c>
      <c r="H54" s="12">
        <f t="shared" si="105"/>
        <v>1</v>
      </c>
      <c r="I54" s="5">
        <f t="shared" si="106"/>
        <v>6</v>
      </c>
    </row>
    <row r="55">
      <c r="G55" s="1" t="s">
        <v>28</v>
      </c>
      <c r="H55" s="13">
        <f>CORREL(I9:I21,H42:H54)</f>
        <v>-0.07928997816</v>
      </c>
      <c r="I55" s="7" t="s">
        <v>22</v>
      </c>
    </row>
  </sheetData>
  <mergeCells count="10">
    <mergeCell ref="B24:H24"/>
    <mergeCell ref="K24:P24"/>
    <mergeCell ref="R24:W24"/>
    <mergeCell ref="B3:G3"/>
    <mergeCell ref="B7:I7"/>
    <mergeCell ref="K7:P7"/>
    <mergeCell ref="T7:Y7"/>
    <mergeCell ref="AC7:AH7"/>
    <mergeCell ref="AL7:AQ7"/>
    <mergeCell ref="AU7:AZ7"/>
  </mergeCells>
  <conditionalFormatting sqref="H9:I21 R9:R21 AA9:AA21 AJ9:AJ21 AS9:AS21 BB9:BB21">
    <cfRule type="colorScale" priority="1">
      <colorScale>
        <cfvo type="formula" val="0"/>
        <cfvo type="formula" val="0.5"/>
        <cfvo type="formula" val="1"/>
        <color rgb="FFD5A6BD"/>
        <color rgb="FFFFF2CC"/>
        <color rgb="FFD9EAD3"/>
      </colorScale>
    </cfRule>
  </conditionalFormatting>
  <conditionalFormatting sqref="H26:H38 H42:H54">
    <cfRule type="colorScale" priority="2">
      <colorScale>
        <cfvo type="min"/>
        <cfvo type="max"/>
        <color rgb="FFEAD1DC"/>
        <color rgb="FFD9EAD3"/>
      </colorScale>
    </cfRule>
  </conditionalFormatting>
  <conditionalFormatting sqref="N26:P38 U26:W38">
    <cfRule type="colorScale" priority="3">
      <colorScale>
        <cfvo type="min"/>
        <cfvo type="formula" val="1"/>
        <color rgb="FFFFFFFF"/>
        <color rgb="FFA4C2F4"/>
      </colorScale>
    </cfRule>
  </conditionalFormatting>
  <conditionalFormatting sqref="K26:M38 R26:T38">
    <cfRule type="colorScale" priority="4">
      <colorScale>
        <cfvo type="min"/>
        <cfvo type="formula" val="1"/>
        <color rgb="FFFFFFFF"/>
        <color rgb="FFEA9999"/>
      </colorScale>
    </cfRule>
  </conditionalFormatting>
  <hyperlinks>
    <hyperlink display="#WALSUI-volume-10-burst-0.7-grouped-processed" location="Sheet8!A1" ref="B5"/>
    <hyperlink display="#TURITA-volume-15-burst-0.6-grouped-processed" location="Sheet9!A1" ref="C5"/>
    <hyperlink display="#SOUARS-volume-15-burst-0.7-grouped-processed" location="Sheet10!A1" ref="D5"/>
    <hyperlink display="#LEIMUN-volume-30-burst-0.6-grouped-processed" location="Sheet11!A1" ref="E5"/>
    <hyperlink display="#SCOCZE-volume-15-burst-0.7-grouped-processed" location="Sheet12!A1" ref="F5"/>
    <hyperlink display="#HUNFRA-volume-15-burst-0.7-grouped-processed" location="Sheet13!A1" ref="G5"/>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IFERROR(__xludf.DUMMYFUNCTION("TRANSPOSE(UNIQUE(INDIRECT(B2&amp;""!D2:D107"")))"),"#REF!")</f>
        <v>#REF!</v>
      </c>
    </row>
    <row r="2">
      <c r="A2" s="14" t="s">
        <v>31</v>
      </c>
      <c r="B2" s="15" t="s">
        <v>32</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t="str">
        <f t="shared" ref="G3:G7" si="2">F3/SUM(F$3:F$7)</f>
        <v>#DIV/0!</v>
      </c>
      <c r="H3" s="20" t="s">
        <v>14</v>
      </c>
      <c r="I3" s="21">
        <f t="shared" ref="I3:I7" si="3">COUNTIF(J$10:J1007,H3)</f>
        <v>0</v>
      </c>
      <c r="J3" s="22" t="str">
        <f t="shared" ref="J3:J7" si="4">I3/SUM(I$3:I$7)</f>
        <v>#DIV/0!</v>
      </c>
      <c r="K3" s="20" t="s">
        <v>14</v>
      </c>
      <c r="L3" s="21">
        <f t="shared" ref="L3:L7" si="5">COUNTIF(M$10:M1007,K3)</f>
        <v>0</v>
      </c>
      <c r="M3" s="22" t="str">
        <f t="shared" ref="M3:M7" si="6">L3/SUM(L$3:L$7)</f>
        <v>#DIV/0!</v>
      </c>
      <c r="N3" s="20" t="s">
        <v>14</v>
      </c>
      <c r="O3" s="21">
        <f t="shared" ref="O3:O7" si="7">COUNTIF(P$10:P1007,N3)</f>
        <v>0</v>
      </c>
      <c r="P3" s="22" t="str">
        <f t="shared" ref="P3:P7" si="8">O3/SUM(O$3:O$7)</f>
        <v>#DIV/0!</v>
      </c>
      <c r="Q3" s="20" t="s">
        <v>14</v>
      </c>
      <c r="R3" s="21">
        <f t="shared" ref="R3:R7" si="9">COUNTIF(S$10:S1007,Q3)</f>
        <v>0</v>
      </c>
      <c r="S3" s="22" t="str">
        <f t="shared" ref="S3:S7" si="10">R3/SUM(R$3:R$7)</f>
        <v>#DIV/0!</v>
      </c>
      <c r="T3" s="20" t="s">
        <v>14</v>
      </c>
      <c r="U3" s="21">
        <f t="shared" ref="U3:U7" si="11">COUNTIF(V$10:V1007,T3)</f>
        <v>0</v>
      </c>
      <c r="V3" s="22" t="str">
        <f t="shared" ref="V3:V7" si="12">U3/SUM(U$3:U$7)</f>
        <v>#DIV/0!</v>
      </c>
      <c r="W3" s="20" t="s">
        <v>14</v>
      </c>
      <c r="X3" s="21">
        <f t="shared" ref="X3:X7" si="13">COUNTIF(Y$10:Y1007,W3)</f>
        <v>0</v>
      </c>
      <c r="Y3" s="22" t="str">
        <f t="shared" ref="Y3:Y7" si="14">X3/SUM(X$3:X$7)</f>
        <v>#DIV/0!</v>
      </c>
      <c r="Z3" s="20" t="s">
        <v>14</v>
      </c>
      <c r="AA3" s="21">
        <f t="shared" ref="AA3:AA7" si="15">COUNTIF(AB$10:AB1007,Z3)</f>
        <v>0</v>
      </c>
      <c r="AB3" s="22" t="str">
        <f t="shared" ref="AB3:AB7" si="16">AA3/SUM(AA$3:AA$7)</f>
        <v>#DIV/0!</v>
      </c>
      <c r="AC3" s="20" t="s">
        <v>14</v>
      </c>
      <c r="AD3" s="21">
        <f t="shared" ref="AD3:AD7" si="17">COUNTIF(AE$10:AE1007,AC3)</f>
        <v>0</v>
      </c>
      <c r="AE3" s="22" t="str">
        <f t="shared" ref="AE3:AE7" si="18">AD3/SUM(AD$3:AD$7)</f>
        <v>#DIV/0!</v>
      </c>
      <c r="AF3" s="20" t="s">
        <v>14</v>
      </c>
      <c r="AG3" s="21">
        <f t="shared" ref="AG3:AG7" si="19">COUNTIF(AH$10:AH1007,AF3)</f>
        <v>0</v>
      </c>
      <c r="AH3" s="22" t="str">
        <f t="shared" ref="AH3:AH7" si="20">AG3/SUM(AG$3:AG$7)</f>
        <v>#DIV/0!</v>
      </c>
      <c r="AI3" s="20" t="s">
        <v>14</v>
      </c>
      <c r="AJ3" s="21">
        <f t="shared" ref="AJ3:AJ7" si="21">COUNTIF(AK$10:AK1007,AI3)</f>
        <v>0</v>
      </c>
      <c r="AK3" s="22" t="str">
        <f t="shared" ref="AK3:AK7" si="22">AJ3/SUM(AJ$3:AJ$7)</f>
        <v>#DIV/0!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t="str">
        <f t="shared" si="2"/>
        <v>#DIV/0!</v>
      </c>
      <c r="H4" s="20" t="s">
        <v>15</v>
      </c>
      <c r="I4" s="21">
        <f t="shared" si="3"/>
        <v>0</v>
      </c>
      <c r="J4" s="22" t="str">
        <f t="shared" si="4"/>
        <v>#DIV/0!</v>
      </c>
      <c r="K4" s="20" t="s">
        <v>15</v>
      </c>
      <c r="L4" s="21">
        <f t="shared" si="5"/>
        <v>0</v>
      </c>
      <c r="M4" s="22" t="str">
        <f t="shared" si="6"/>
        <v>#DIV/0!</v>
      </c>
      <c r="N4" s="20" t="s">
        <v>15</v>
      </c>
      <c r="O4" s="21">
        <f t="shared" si="7"/>
        <v>0</v>
      </c>
      <c r="P4" s="22" t="str">
        <f t="shared" si="8"/>
        <v>#DIV/0!</v>
      </c>
      <c r="Q4" s="20" t="s">
        <v>15</v>
      </c>
      <c r="R4" s="21">
        <f t="shared" si="9"/>
        <v>0</v>
      </c>
      <c r="S4" s="22" t="str">
        <f t="shared" si="10"/>
        <v>#DIV/0!</v>
      </c>
      <c r="T4" s="20" t="s">
        <v>15</v>
      </c>
      <c r="U4" s="21">
        <f t="shared" si="11"/>
        <v>0</v>
      </c>
      <c r="V4" s="22" t="str">
        <f t="shared" si="12"/>
        <v>#DIV/0!</v>
      </c>
      <c r="W4" s="20" t="s">
        <v>15</v>
      </c>
      <c r="X4" s="21">
        <f t="shared" si="13"/>
        <v>0</v>
      </c>
      <c r="Y4" s="22" t="str">
        <f t="shared" si="14"/>
        <v>#DIV/0!</v>
      </c>
      <c r="Z4" s="20" t="s">
        <v>15</v>
      </c>
      <c r="AA4" s="21">
        <f t="shared" si="15"/>
        <v>0</v>
      </c>
      <c r="AB4" s="22" t="str">
        <f t="shared" si="16"/>
        <v>#DIV/0!</v>
      </c>
      <c r="AC4" s="20" t="s">
        <v>15</v>
      </c>
      <c r="AD4" s="21">
        <f t="shared" si="17"/>
        <v>0</v>
      </c>
      <c r="AE4" s="22" t="str">
        <f t="shared" si="18"/>
        <v>#DIV/0!</v>
      </c>
      <c r="AF4" s="20" t="s">
        <v>15</v>
      </c>
      <c r="AG4" s="21">
        <f t="shared" si="19"/>
        <v>0</v>
      </c>
      <c r="AH4" s="22" t="str">
        <f t="shared" si="20"/>
        <v>#DIV/0!</v>
      </c>
      <c r="AI4" s="20" t="s">
        <v>15</v>
      </c>
      <c r="AJ4" s="21">
        <f t="shared" si="21"/>
        <v>0</v>
      </c>
      <c r="AK4" s="22" t="str">
        <f t="shared" si="22"/>
        <v>#DIV/0!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0</v>
      </c>
      <c r="G5" s="22" t="str">
        <f t="shared" si="2"/>
        <v>#DIV/0!</v>
      </c>
      <c r="H5" s="20" t="s">
        <v>16</v>
      </c>
      <c r="I5" s="21">
        <f t="shared" si="3"/>
        <v>0</v>
      </c>
      <c r="J5" s="22" t="str">
        <f t="shared" si="4"/>
        <v>#DIV/0!</v>
      </c>
      <c r="K5" s="20" t="s">
        <v>16</v>
      </c>
      <c r="L5" s="21">
        <f t="shared" si="5"/>
        <v>0</v>
      </c>
      <c r="M5" s="22" t="str">
        <f t="shared" si="6"/>
        <v>#DIV/0!</v>
      </c>
      <c r="N5" s="20" t="s">
        <v>16</v>
      </c>
      <c r="O5" s="21">
        <f t="shared" si="7"/>
        <v>0</v>
      </c>
      <c r="P5" s="22" t="str">
        <f t="shared" si="8"/>
        <v>#DIV/0!</v>
      </c>
      <c r="Q5" s="20" t="s">
        <v>16</v>
      </c>
      <c r="R5" s="21">
        <f t="shared" si="9"/>
        <v>0</v>
      </c>
      <c r="S5" s="22" t="str">
        <f t="shared" si="10"/>
        <v>#DIV/0!</v>
      </c>
      <c r="T5" s="20" t="s">
        <v>16</v>
      </c>
      <c r="U5" s="21">
        <f t="shared" si="11"/>
        <v>0</v>
      </c>
      <c r="V5" s="22" t="str">
        <f t="shared" si="12"/>
        <v>#DIV/0!</v>
      </c>
      <c r="W5" s="20" t="s">
        <v>16</v>
      </c>
      <c r="X5" s="21">
        <f t="shared" si="13"/>
        <v>0</v>
      </c>
      <c r="Y5" s="22" t="str">
        <f t="shared" si="14"/>
        <v>#DIV/0!</v>
      </c>
      <c r="Z5" s="20" t="s">
        <v>16</v>
      </c>
      <c r="AA5" s="21">
        <f t="shared" si="15"/>
        <v>0</v>
      </c>
      <c r="AB5" s="22" t="str">
        <f t="shared" si="16"/>
        <v>#DIV/0!</v>
      </c>
      <c r="AC5" s="20" t="s">
        <v>16</v>
      </c>
      <c r="AD5" s="21">
        <f t="shared" si="17"/>
        <v>0</v>
      </c>
      <c r="AE5" s="22" t="str">
        <f t="shared" si="18"/>
        <v>#DIV/0!</v>
      </c>
      <c r="AF5" s="20" t="s">
        <v>16</v>
      </c>
      <c r="AG5" s="21">
        <f t="shared" si="19"/>
        <v>0</v>
      </c>
      <c r="AH5" s="22" t="str">
        <f t="shared" si="20"/>
        <v>#DIV/0!</v>
      </c>
      <c r="AI5" s="20" t="s">
        <v>16</v>
      </c>
      <c r="AJ5" s="21">
        <f t="shared" si="21"/>
        <v>0</v>
      </c>
      <c r="AK5" s="22" t="str">
        <f t="shared" si="22"/>
        <v>#DIV/0!</v>
      </c>
      <c r="AL5" s="20" t="s">
        <v>16</v>
      </c>
      <c r="AM5" s="21">
        <f t="shared" si="23"/>
        <v>0</v>
      </c>
      <c r="AN5" s="22" t="str">
        <f t="shared" si="24"/>
        <v>#DIV/0!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0</v>
      </c>
      <c r="G6" s="22" t="str">
        <f t="shared" si="2"/>
        <v>#DIV/0!</v>
      </c>
      <c r="H6" s="20" t="s">
        <v>17</v>
      </c>
      <c r="I6" s="21">
        <f t="shared" si="3"/>
        <v>0</v>
      </c>
      <c r="J6" s="22" t="str">
        <f t="shared" si="4"/>
        <v>#DIV/0!</v>
      </c>
      <c r="K6" s="20" t="s">
        <v>17</v>
      </c>
      <c r="L6" s="21">
        <f t="shared" si="5"/>
        <v>0</v>
      </c>
      <c r="M6" s="22" t="str">
        <f t="shared" si="6"/>
        <v>#DIV/0!</v>
      </c>
      <c r="N6" s="20" t="s">
        <v>17</v>
      </c>
      <c r="O6" s="21">
        <f t="shared" si="7"/>
        <v>0</v>
      </c>
      <c r="P6" s="22" t="str">
        <f t="shared" si="8"/>
        <v>#DIV/0!</v>
      </c>
      <c r="Q6" s="20" t="s">
        <v>17</v>
      </c>
      <c r="R6" s="21">
        <f t="shared" si="9"/>
        <v>0</v>
      </c>
      <c r="S6" s="22" t="str">
        <f t="shared" si="10"/>
        <v>#DIV/0!</v>
      </c>
      <c r="T6" s="20" t="s">
        <v>17</v>
      </c>
      <c r="U6" s="21">
        <f t="shared" si="11"/>
        <v>0</v>
      </c>
      <c r="V6" s="22" t="str">
        <f t="shared" si="12"/>
        <v>#DIV/0!</v>
      </c>
      <c r="W6" s="20" t="s">
        <v>17</v>
      </c>
      <c r="X6" s="21">
        <f t="shared" si="13"/>
        <v>0</v>
      </c>
      <c r="Y6" s="22" t="str">
        <f t="shared" si="14"/>
        <v>#DIV/0!</v>
      </c>
      <c r="Z6" s="20" t="s">
        <v>17</v>
      </c>
      <c r="AA6" s="21">
        <f t="shared" si="15"/>
        <v>0</v>
      </c>
      <c r="AB6" s="22" t="str">
        <f t="shared" si="16"/>
        <v>#DIV/0!</v>
      </c>
      <c r="AC6" s="20" t="s">
        <v>17</v>
      </c>
      <c r="AD6" s="21">
        <f t="shared" si="17"/>
        <v>0</v>
      </c>
      <c r="AE6" s="22" t="str">
        <f t="shared" si="18"/>
        <v>#DIV/0!</v>
      </c>
      <c r="AF6" s="20" t="s">
        <v>17</v>
      </c>
      <c r="AG6" s="21">
        <f t="shared" si="19"/>
        <v>0</v>
      </c>
      <c r="AH6" s="22" t="str">
        <f t="shared" si="20"/>
        <v>#DIV/0!</v>
      </c>
      <c r="AI6" s="20" t="s">
        <v>17</v>
      </c>
      <c r="AJ6" s="21">
        <f t="shared" si="21"/>
        <v>0</v>
      </c>
      <c r="AK6" s="22" t="str">
        <f t="shared" si="22"/>
        <v>#DIV/0!</v>
      </c>
      <c r="AL6" s="20" t="s">
        <v>17</v>
      </c>
      <c r="AM6" s="21">
        <f t="shared" si="23"/>
        <v>0</v>
      </c>
      <c r="AN6" s="22" t="str">
        <f t="shared" si="24"/>
        <v>#DIV/0!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0</v>
      </c>
      <c r="G7" s="22" t="str">
        <f t="shared" si="2"/>
        <v>#DIV/0!</v>
      </c>
      <c r="H7" s="20" t="s">
        <v>18</v>
      </c>
      <c r="I7" s="21">
        <f t="shared" si="3"/>
        <v>0</v>
      </c>
      <c r="J7" s="22" t="str">
        <f t="shared" si="4"/>
        <v>#DIV/0!</v>
      </c>
      <c r="K7" s="20" t="s">
        <v>18</v>
      </c>
      <c r="L7" s="21">
        <f t="shared" si="5"/>
        <v>0</v>
      </c>
      <c r="M7" s="22" t="str">
        <f t="shared" si="6"/>
        <v>#DIV/0!</v>
      </c>
      <c r="N7" s="20" t="s">
        <v>18</v>
      </c>
      <c r="O7" s="21">
        <f t="shared" si="7"/>
        <v>0</v>
      </c>
      <c r="P7" s="22" t="str">
        <f t="shared" si="8"/>
        <v>#DIV/0!</v>
      </c>
      <c r="Q7" s="20" t="s">
        <v>18</v>
      </c>
      <c r="R7" s="21">
        <f t="shared" si="9"/>
        <v>0</v>
      </c>
      <c r="S7" s="22" t="str">
        <f t="shared" si="10"/>
        <v>#DIV/0!</v>
      </c>
      <c r="T7" s="20" t="s">
        <v>18</v>
      </c>
      <c r="U7" s="21">
        <f t="shared" si="11"/>
        <v>0</v>
      </c>
      <c r="V7" s="22" t="str">
        <f t="shared" si="12"/>
        <v>#DIV/0!</v>
      </c>
      <c r="W7" s="20" t="s">
        <v>18</v>
      </c>
      <c r="X7" s="21">
        <f t="shared" si="13"/>
        <v>0</v>
      </c>
      <c r="Y7" s="22" t="str">
        <f t="shared" si="14"/>
        <v>#DIV/0!</v>
      </c>
      <c r="Z7" s="20" t="s">
        <v>18</v>
      </c>
      <c r="AA7" s="21">
        <f t="shared" si="15"/>
        <v>0</v>
      </c>
      <c r="AB7" s="22" t="str">
        <f t="shared" si="16"/>
        <v>#DIV/0!</v>
      </c>
      <c r="AC7" s="20" t="s">
        <v>18</v>
      </c>
      <c r="AD7" s="21">
        <f t="shared" si="17"/>
        <v>0</v>
      </c>
      <c r="AE7" s="22" t="str">
        <f t="shared" si="18"/>
        <v>#DIV/0!</v>
      </c>
      <c r="AF7" s="20" t="s">
        <v>18</v>
      </c>
      <c r="AG7" s="21">
        <f t="shared" si="19"/>
        <v>0</v>
      </c>
      <c r="AH7" s="22" t="str">
        <f t="shared" si="20"/>
        <v>#DIV/0!</v>
      </c>
      <c r="AI7" s="20" t="s">
        <v>18</v>
      </c>
      <c r="AJ7" s="21">
        <f t="shared" si="21"/>
        <v>0</v>
      </c>
      <c r="AK7" s="22" t="str">
        <f t="shared" si="22"/>
        <v>#DIV/0!</v>
      </c>
      <c r="AL7" s="20" t="s">
        <v>18</v>
      </c>
      <c r="AM7" s="21">
        <f t="shared" si="23"/>
        <v>0</v>
      </c>
      <c r="AN7" s="22" t="str">
        <f t="shared" si="24"/>
        <v>#DIV/0!</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0</v>
      </c>
      <c r="G8" s="25" t="str">
        <f>SUM(G6:G7)</f>
        <v>#DIV/0!</v>
      </c>
      <c r="H8" s="24" t="s">
        <v>13</v>
      </c>
      <c r="I8" s="5">
        <f>SUM(I3:I7)</f>
        <v>0</v>
      </c>
      <c r="J8" s="25" t="str">
        <f>SUM(J6:J7)</f>
        <v>#DIV/0!</v>
      </c>
      <c r="K8" s="24" t="s">
        <v>13</v>
      </c>
      <c r="L8" s="5">
        <f>SUM(L3:L7)</f>
        <v>0</v>
      </c>
      <c r="M8" s="25" t="str">
        <f>SUM(M6:M7)</f>
        <v>#DIV/0!</v>
      </c>
      <c r="N8" s="24" t="s">
        <v>13</v>
      </c>
      <c r="O8" s="5">
        <f>SUM(O3:O7)</f>
        <v>0</v>
      </c>
      <c r="P8" s="25" t="str">
        <f>SUM(P6:P7)</f>
        <v>#DIV/0!</v>
      </c>
      <c r="Q8" s="24" t="s">
        <v>13</v>
      </c>
      <c r="R8" s="5">
        <f>SUM(R3:R7)</f>
        <v>0</v>
      </c>
      <c r="S8" s="25" t="str">
        <f>SUM(S6:S7)</f>
        <v>#DIV/0!</v>
      </c>
      <c r="T8" s="24" t="s">
        <v>13</v>
      </c>
      <c r="U8" s="5">
        <f>SUM(U3:U7)</f>
        <v>0</v>
      </c>
      <c r="V8" s="25" t="str">
        <f>SUM(V6:V7)</f>
        <v>#DIV/0!</v>
      </c>
      <c r="W8" s="24" t="s">
        <v>13</v>
      </c>
      <c r="X8" s="5">
        <f>SUM(X3:X7)</f>
        <v>0</v>
      </c>
      <c r="Y8" s="25" t="str">
        <f>SUM(Y6:Y7)</f>
        <v>#DIV/0!</v>
      </c>
      <c r="Z8" s="24" t="s">
        <v>13</v>
      </c>
      <c r="AA8" s="5">
        <f>SUM(AA3:AA7)</f>
        <v>0</v>
      </c>
      <c r="AB8" s="25" t="str">
        <f>SUM(AB6:AB7)</f>
        <v>#DIV/0!</v>
      </c>
      <c r="AC8" s="24" t="s">
        <v>13</v>
      </c>
      <c r="AD8" s="5">
        <f>SUM(AD3:AD7)</f>
        <v>0</v>
      </c>
      <c r="AE8" s="25" t="str">
        <f>SUM(AE6:AE7)</f>
        <v>#DIV/0!</v>
      </c>
      <c r="AF8" s="24" t="s">
        <v>13</v>
      </c>
      <c r="AG8" s="5">
        <f>SUM(AG3:AG7)</f>
        <v>0</v>
      </c>
      <c r="AH8" s="25" t="str">
        <f>SUM(AH6:AH7)</f>
        <v>#DIV/0!</v>
      </c>
      <c r="AI8" s="24" t="s">
        <v>13</v>
      </c>
      <c r="AJ8" s="5">
        <f>SUM(AJ3:AJ7)</f>
        <v>0</v>
      </c>
      <c r="AK8" s="25" t="str">
        <f>SUM(AK6:AK7)</f>
        <v>#DIV/0!</v>
      </c>
      <c r="AL8" s="24" t="s">
        <v>13</v>
      </c>
      <c r="AM8" s="5">
        <f>SUM(AM3:AM7)</f>
        <v>0</v>
      </c>
      <c r="AN8" s="25" t="str">
        <f>SUM(AN6:AN7)</f>
        <v>#DIV/0!</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#REF!</v>
      </c>
      <c r="F9" s="28"/>
      <c r="G9" s="29"/>
      <c r="H9" s="27" t="str">
        <f>IF((COLUMN(H9) - 2)/3 = INT((COLUMN(H9) - 2)/3), INDIRECT("R1C"&amp;CEILING(4 + COLUMN(H9)/3,1), FALSE), "")</f>
        <v/>
      </c>
      <c r="I9" s="28"/>
      <c r="J9" s="29"/>
      <c r="K9" s="27" t="str">
        <f>IF((COLUMN(K9) - 2)/3 = INT((COLUMN(K9) - 2)/3), INDIRECT("R1C"&amp;CEILING(4 + COLUMN(K9)/3,1), FALSE), "")</f>
        <v/>
      </c>
      <c r="L9" s="28"/>
      <c r="M9" s="29"/>
      <c r="N9" s="27" t="str">
        <f>IF((COLUMN(N9) - 2)/3 = INT((COLUMN(N9) - 2)/3), INDIRECT("R1C"&amp;CEILING(4 + COLUMN(N9)/3,1), FALSE), "")</f>
        <v/>
      </c>
      <c r="O9" s="28"/>
      <c r="P9" s="29"/>
      <c r="Q9" s="27" t="str">
        <f>IF((COLUMN(Q9) - 2)/3 = INT((COLUMN(Q9) - 2)/3), INDIRECT("R1C"&amp;CEILING(4 + COLUMN(Q9)/3,1), FALSE), "")</f>
        <v/>
      </c>
      <c r="R9" s="28"/>
      <c r="S9" s="29"/>
      <c r="T9" s="27" t="str">
        <f>IF((COLUMN(T9) - 2)/3 = INT((COLUMN(T9) - 2)/3), INDIRECT("R1C"&amp;CEILING(4 + COLUMN(T9)/3,1), FALSE), "")</f>
        <v/>
      </c>
      <c r="U9" s="28"/>
      <c r="V9" s="29"/>
      <c r="W9" s="27" t="str">
        <f>IF((COLUMN(W9) - 2)/3 = INT((COLUMN(W9) - 2)/3), INDIRECT("R1C"&amp;CEILING(4 + COLUMN(W9)/3,1), FALSE), "")</f>
        <v/>
      </c>
      <c r="X9" s="28"/>
      <c r="Y9" s="29"/>
      <c r="Z9" s="27" t="str">
        <f>IF((COLUMN(Z9) - 2)/3 = INT((COLUMN(Z9) - 2)/3), INDIRECT("R1C"&amp;CEILING(4 + COLUMN(Z9)/3,1), FALSE), "")</f>
        <v/>
      </c>
      <c r="AA9" s="28"/>
      <c r="AB9" s="29"/>
      <c r="AC9" s="27" t="str">
        <f>IF((COLUMN(AC9) - 2)/3 = INT((COLUMN(AC9) - 2)/3), INDIRECT("R1C"&amp;CEILING(4 + COLUMN(AC9)/3,1), FALSE), "")</f>
        <v/>
      </c>
      <c r="AD9" s="28"/>
      <c r="AE9" s="29"/>
      <c r="AF9" s="27" t="str">
        <f>IF((COLUMN(AF9) - 2)/3 = INT((COLUMN(AF9) - 2)/3), INDIRECT("R1C"&amp;CEILING(4 + COLUMN(AF9)/3,1), FALSE), "")</f>
        <v/>
      </c>
      <c r="AG9" s="28"/>
      <c r="AH9" s="29"/>
      <c r="AI9" s="27" t="str">
        <f>IF((COLUMN(AI9) - 2)/3 = INT((COLUMN(AI9) - 2)/3), INDIRECT("R1C"&amp;CEILING(4 + COLUMN(AI9)/3,1), FALSE), "")</f>
        <v/>
      </c>
      <c r="AJ9" s="28"/>
      <c r="AK9" s="29"/>
      <c r="AL9" s="27" t="str">
        <f>IF((COLUMN(AL9) - 2)/3 = INT((COLUMN(AL9) - 2)/3), INDIRECT("R1C"&amp;CEILING(4 + COLUMN(AL9)/3,1), FALSE), "")</f>
        <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NOT(ISERROR($E3:DF3))))"),0.0)</f>
        <v>0</v>
      </c>
      <c r="D10" s="26" t="str">
        <f t="shared" ref="D10:D14" si="63">$C10/$C$15</f>
        <v>#DIV/0!</v>
      </c>
      <c r="E10" s="5" t="str">
        <f>IFERROR(__xludf.DUMMYFUNCTION("QUERY(INDIRECT($B$2&amp;""!$A$1:$F""), ""SELECT C, F WHERE D = """""" &amp; E9 &amp; """""""")"),"#REF!")</f>
        <v>#REF!</v>
      </c>
      <c r="H10" s="5" t="str">
        <f>IFERROR(__xludf.DUMMYFUNCTION("QUERY(INDIRECT($B$2&amp;""!$A$1:$F""), ""SELECT C, F WHERE D = """""" &amp; H9 &amp; """""""")"),"#REF!")</f>
        <v>#REF!</v>
      </c>
      <c r="K10" s="5" t="str">
        <f>IFERROR(__xludf.DUMMYFUNCTION("QUERY(INDIRECT($B$2&amp;""!$A$1:$F""), ""SELECT C, F WHERE D = """""" &amp; K9 &amp; """""""")"),"#REF!")</f>
        <v>#REF!</v>
      </c>
      <c r="N10" s="5" t="str">
        <f>IFERROR(__xludf.DUMMYFUNCTION("QUERY(INDIRECT($B$2&amp;""!$A$1:$F""), ""SELECT C, F WHERE D = """""" &amp; N9 &amp; """""""")"),"#REF!")</f>
        <v>#REF!</v>
      </c>
      <c r="Q10" s="5" t="str">
        <f>IFERROR(__xludf.DUMMYFUNCTION("QUERY(INDIRECT($B$2&amp;""!$A$1:$F""), ""SELECT C, F WHERE D = """""" &amp; Q9 &amp; """""""")"),"#REF!")</f>
        <v>#REF!</v>
      </c>
      <c r="T10" s="5" t="str">
        <f>IFERROR(__xludf.DUMMYFUNCTION("QUERY(INDIRECT($B$2&amp;""!$A$1:$F""), ""SELECT C, F WHERE D = """""" &amp; T9 &amp; """""""")"),"#REF!")</f>
        <v>#REF!</v>
      </c>
      <c r="W10" s="5" t="str">
        <f>IFERROR(__xludf.DUMMYFUNCTION("QUERY(INDIRECT($B$2&amp;""!$A$1:$F""), ""SELECT C, F WHERE D = """""" &amp; W9 &amp; """""""")"),"#REF!")</f>
        <v>#REF!</v>
      </c>
      <c r="Z10" s="5" t="str">
        <f>IFERROR(__xludf.DUMMYFUNCTION("QUERY(INDIRECT($B$2&amp;""!$A$1:$F""), ""SELECT C, F WHERE D = """""" &amp; Z9 &amp; """""""")"),"#REF!")</f>
        <v>#REF!</v>
      </c>
      <c r="AC10" s="5" t="str">
        <f>IFERROR(__xludf.DUMMYFUNCTION("QUERY(INDIRECT($B$2&amp;""!$A$1:$F""), ""SELECT C, F WHERE D = """""" &amp; AC9 &amp; """""""")"),"#REF!")</f>
        <v>#REF!</v>
      </c>
      <c r="AF10" s="5" t="str">
        <f>IFERROR(__xludf.DUMMYFUNCTION("QUERY(INDIRECT($B$2&amp;""!$A$1:$F""), ""SELECT C, F WHERE D = """""" &amp; AF9 &amp; """""""")"),"#REF!")</f>
        <v>#REF!</v>
      </c>
      <c r="AI10" s="5" t="str">
        <f>IFERROR(__xludf.DUMMYFUNCTION("QUERY(INDIRECT($B$2&amp;""!$A$1:$F""), ""SELECT C, F WHERE D = """""" &amp; AI9 &amp; """""""")"),"#REF!")</f>
        <v>#REF!</v>
      </c>
      <c r="AL10" s="5" t="str">
        <f>IFERROR(__xludf.DUMMYFUNCTION("QUERY(INDIRECT($B$2&amp;""!$A$1:$F""), ""SELECT C, F WHERE D = """""" &amp; AL9 &amp; """""""")"),"#REF!")</f>
        <v>#REF!</v>
      </c>
      <c r="AO10" s="5" t="str">
        <f>IFERROR(__xludf.DUMMYFUNCTION("QUERY(INDIRECT($B$2&amp;""!$A$1:$F""), ""SELECT C, F WHERE D = """""" &amp; AO9 &amp; """""""")"),"#REF!")</f>
        <v>#REF!</v>
      </c>
      <c r="AR10" s="5" t="str">
        <f>IFERROR(__xludf.DUMMYFUNCTION("QUERY(INDIRECT($B$2&amp;""!$A$1:$F""), ""SELECT C, F WHERE D = """""" &amp; AR9 &amp; """""""")"),"#REF!")</f>
        <v>#REF!</v>
      </c>
      <c r="AU10" s="5" t="str">
        <f>IFERROR(__xludf.DUMMYFUNCTION("QUERY(INDIRECT($B$2&amp;""!$A$1:$F""), ""SELECT C, F WHERE D = """""" &amp; AU9 &amp; """""""")"),"#REF!")</f>
        <v>#REF!</v>
      </c>
      <c r="AX10" s="5" t="str">
        <f>IFERROR(__xludf.DUMMYFUNCTION("QUERY(INDIRECT($B$2&amp;""!$A$1:$F""), ""SELECT C, F WHERE D = """""" &amp; AX9 &amp; """""""")"),"#REF!")</f>
        <v>#REF!</v>
      </c>
      <c r="BA10" s="5" t="str">
        <f>IFERROR(__xludf.DUMMYFUNCTION("QUERY(INDIRECT($B$2&amp;""!$A$1:$F""), ""SELECT C, F WHERE D = """""" &amp; BA9 &amp; """""""")"),"#REF!")</f>
        <v>#REF!</v>
      </c>
      <c r="BD10" s="5" t="str">
        <f>IFERROR(__xludf.DUMMYFUNCTION("QUERY(INDIRECT($B$2&amp;""!$A$1:$F""), ""SELECT C, F WHERE D = """""" &amp; BD9 &amp; """""""")"),"#REF!")</f>
        <v>#REF!</v>
      </c>
      <c r="BG10" s="5" t="str">
        <f>IFERROR(__xludf.DUMMYFUNCTION("QUERY(INDIRECT($B$2&amp;""!$A$1:$F""), ""SELECT C, F WHERE D = """""" &amp; BG9 &amp; """""""")"),"#REF!")</f>
        <v>#REF!</v>
      </c>
      <c r="BJ10" s="5" t="str">
        <f>IFERROR(__xludf.DUMMYFUNCTION("QUERY(INDIRECT($B$2&amp;""!$A$1:$F""), ""SELECT C, F WHERE D = """""" &amp; BJ9 &amp; """""""")"),"#REF!")</f>
        <v>#REF!</v>
      </c>
      <c r="BM10" s="5" t="str">
        <f>IFERROR(__xludf.DUMMYFUNCTION("QUERY(INDIRECT($B$2&amp;""!$A$1:$F""), ""SELECT C, F WHERE D = """""" &amp; BM9 &amp; """""""")"),"#REF!")</f>
        <v>#REF!</v>
      </c>
      <c r="BP10" s="5" t="str">
        <f>IFERROR(__xludf.DUMMYFUNCTION("QUERY(INDIRECT($B$2&amp;""!$A$1:$F""), ""SELECT C, F WHERE D = """""" &amp; BP9 &amp; """""""")"),"#REF!")</f>
        <v>#REF!</v>
      </c>
      <c r="BS10" s="5" t="str">
        <f>IFERROR(__xludf.DUMMYFUNCTION("QUERY(INDIRECT($B$2&amp;""!$A$1:$F""), ""SELECT C, F WHERE D = """""" &amp; BS9 &amp; """""""")"),"#REF!")</f>
        <v>#REF!</v>
      </c>
      <c r="BV10" s="5" t="str">
        <f>IFERROR(__xludf.DUMMYFUNCTION("QUERY(INDIRECT($B$2&amp;""!$A$1:$F""), ""SELECT C, F WHERE D = """""" &amp; BV9 &amp; """""""")"),"#REF!")</f>
        <v>#REF!</v>
      </c>
      <c r="BY10" s="5" t="str">
        <f>IFERROR(__xludf.DUMMYFUNCTION("QUERY(INDIRECT($B$2&amp;""!$A$1:$F""), ""SELECT C, F WHERE D = """""" &amp; BY9 &amp; """""""")"),"#REF!")</f>
        <v>#REF!</v>
      </c>
      <c r="CB10" s="5" t="str">
        <f>IFERROR(__xludf.DUMMYFUNCTION("QUERY(INDIRECT($B$2&amp;""!$A$1:$F""), ""SELECT C, F WHERE D = """""" &amp; CB9 &amp; """""""")"),"#REF!")</f>
        <v>#REF!</v>
      </c>
      <c r="CE10" s="5" t="str">
        <f>IFERROR(__xludf.DUMMYFUNCTION("QUERY(INDIRECT($B$2&amp;""!$A$1:$F""), ""SELECT C, F WHERE D = """""" &amp; CE9 &amp; """""""")"),"#REF!")</f>
        <v>#REF!</v>
      </c>
      <c r="CH10" s="5" t="str">
        <f>IFERROR(__xludf.DUMMYFUNCTION("QUERY(INDIRECT($B$2&amp;""!$A$1:$F""), ""SELECT C, F WHERE D = """""" &amp; CH9 &amp; """""""")"),"#REF!")</f>
        <v>#REF!</v>
      </c>
      <c r="CK10" s="5" t="str">
        <f>IFERROR(__xludf.DUMMYFUNCTION("QUERY(INDIRECT($B$2&amp;""!$A$1:$F""), ""SELECT C, F WHERE D = """""" &amp; CK9 &amp; """""""")"),"#REF!")</f>
        <v>#REF!</v>
      </c>
      <c r="CN10" s="5" t="str">
        <f>IFERROR(__xludf.DUMMYFUNCTION("QUERY(INDIRECT($B$2&amp;""!$A$1:$F""), ""SELECT C, F WHERE D = """""" &amp; CN9 &amp; """""""")"),"#REF!")</f>
        <v>#REF!</v>
      </c>
      <c r="CQ10" s="5" t="str">
        <f>IFERROR(__xludf.DUMMYFUNCTION("QUERY(INDIRECT($B$2&amp;""!$A$1:$F""), ""SELECT C, F WHERE D = """""" &amp; CQ9 &amp; """""""")"),"#REF!")</f>
        <v>#REF!</v>
      </c>
    </row>
    <row r="11">
      <c r="A11" s="19" t="s">
        <v>15</v>
      </c>
      <c r="B11" s="19" t="s">
        <v>37</v>
      </c>
      <c r="C11" s="30">
        <f>IFERROR(__xludf.DUMMYFUNCTION("SUM(FILTER($E4:DF4, (COLUMN($E4:DF4)) / 3 = ROUND((COLUMN($E4:DF4)) / 3), NOT(ISERROR($E4:DF4))))"),0.0)</f>
        <v>0</v>
      </c>
      <c r="D11" s="26" t="str">
        <f t="shared" si="63"/>
        <v>#DIV/0!</v>
      </c>
      <c r="G11" s="5"/>
      <c r="J11" s="5"/>
      <c r="M11" s="5"/>
      <c r="P11" s="5"/>
      <c r="S11" s="5"/>
      <c r="V11" s="5"/>
      <c r="Y11" s="5"/>
      <c r="AB11" s="5"/>
      <c r="AE11" s="5"/>
      <c r="AH11" s="5"/>
      <c r="AK11" s="5"/>
      <c r="AN11" s="5"/>
      <c r="AQ11" s="5"/>
      <c r="AT11" s="5"/>
      <c r="AW11" s="5"/>
      <c r="AZ11" s="5"/>
      <c r="BC11" s="5"/>
      <c r="BF11" s="5"/>
      <c r="BI11" s="5"/>
      <c r="BL11" s="5"/>
      <c r="BO11" s="5"/>
      <c r="BR11" s="5"/>
      <c r="BU11" s="5"/>
      <c r="BX11" s="5"/>
      <c r="CA11" s="5"/>
      <c r="CD11" s="5"/>
      <c r="CG11" s="5"/>
      <c r="CJ11" s="5"/>
      <c r="CM11" s="5"/>
      <c r="CP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NOT(ISERROR($E5:DF5))))"),0.0)</f>
        <v>0</v>
      </c>
      <c r="D12" s="26" t="str">
        <f t="shared" si="63"/>
        <v>#DIV/0!</v>
      </c>
      <c r="G12" s="5"/>
      <c r="J12" s="5"/>
      <c r="M12" s="5"/>
      <c r="P12" s="5"/>
      <c r="S12" s="5"/>
      <c r="V12" s="5"/>
      <c r="Y12" s="5"/>
      <c r="AB12" s="5"/>
      <c r="AE12" s="5"/>
      <c r="AH12" s="5"/>
      <c r="AK12" s="5"/>
      <c r="AN12" s="5"/>
      <c r="AQ12" s="5"/>
      <c r="AT12" s="5"/>
      <c r="AW12" s="5"/>
      <c r="AZ12" s="5"/>
      <c r="BC12" s="5"/>
      <c r="BF12" s="5"/>
      <c r="BI12" s="5"/>
      <c r="BL12" s="5"/>
      <c r="BO12" s="5"/>
      <c r="BR12" s="5"/>
      <c r="BU12" s="5"/>
      <c r="BX12" s="5"/>
      <c r="CA12" s="5"/>
      <c r="CD12" s="5"/>
      <c r="CG12" s="5"/>
      <c r="CJ12" s="5"/>
      <c r="CM12" s="5"/>
      <c r="CP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NOT(ISERROR($E6:DF6))))"),0.0)</f>
        <v>0</v>
      </c>
      <c r="D13" s="26" t="str">
        <f t="shared" si="63"/>
        <v>#DIV/0!</v>
      </c>
      <c r="G13" s="5"/>
      <c r="J13" s="5"/>
      <c r="M13" s="5"/>
      <c r="P13" s="5"/>
      <c r="S13" s="5"/>
      <c r="V13" s="5"/>
      <c r="Y13" s="5"/>
      <c r="AB13" s="5"/>
      <c r="AE13" s="5"/>
      <c r="AH13" s="5"/>
      <c r="AK13" s="5"/>
      <c r="AN13" s="5"/>
      <c r="AQ13" s="5"/>
      <c r="AT13" s="5"/>
      <c r="AW13" s="5"/>
      <c r="AZ13" s="5"/>
      <c r="BC13" s="5"/>
      <c r="BF13" s="5"/>
      <c r="BI13" s="5"/>
      <c r="BL13" s="5"/>
      <c r="BO13" s="5"/>
      <c r="BR13" s="5"/>
      <c r="BU13" s="5"/>
      <c r="BX13" s="5"/>
      <c r="CA13" s="5"/>
      <c r="CD13" s="5"/>
      <c r="CG13" s="5"/>
      <c r="CJ13" s="5"/>
      <c r="CM13" s="5"/>
      <c r="CP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NOT(ISERROR($E7:DF7))))"),0.0)</f>
        <v>0</v>
      </c>
      <c r="D14" s="26" t="str">
        <f t="shared" si="63"/>
        <v>#DIV/0!</v>
      </c>
      <c r="G14" s="5"/>
      <c r="J14" s="5"/>
      <c r="M14" s="5"/>
      <c r="P14" s="5"/>
      <c r="S14" s="5"/>
      <c r="V14" s="5"/>
      <c r="Y14" s="5"/>
      <c r="AB14" s="5"/>
      <c r="AE14" s="5"/>
      <c r="AH14" s="5"/>
      <c r="AK14" s="5"/>
      <c r="AN14" s="5"/>
      <c r="AQ14" s="5"/>
      <c r="AT14" s="5"/>
      <c r="AW14" s="5"/>
      <c r="AZ14" s="5"/>
      <c r="BC14" s="5"/>
      <c r="BF14" s="5"/>
      <c r="BI14" s="5"/>
      <c r="BL14" s="5"/>
      <c r="BO14" s="5"/>
      <c r="BR14" s="5"/>
      <c r="BU14" s="5"/>
      <c r="BX14" s="5"/>
      <c r="CA14" s="5"/>
      <c r="CD14" s="5"/>
      <c r="CG14" s="5"/>
      <c r="CJ14" s="5"/>
      <c r="CM14" s="5"/>
      <c r="CP14" s="5"/>
      <c r="CS14" s="5"/>
      <c r="CT14" s="5"/>
      <c r="CU14" s="5"/>
      <c r="CV14" s="5"/>
      <c r="CW14" s="5"/>
      <c r="CX14" s="5"/>
      <c r="CY14" s="5"/>
      <c r="CZ14" s="5"/>
      <c r="DA14" s="5"/>
      <c r="DB14" s="5"/>
      <c r="DC14" s="5"/>
      <c r="DD14" s="5"/>
      <c r="DE14" s="5"/>
      <c r="DF14" s="5"/>
    </row>
    <row r="15">
      <c r="A15" s="19"/>
      <c r="B15" s="14" t="s">
        <v>41</v>
      </c>
      <c r="C15" s="31">
        <f t="shared" ref="C15:D15" si="64">SUM(C10:C14)</f>
        <v>0</v>
      </c>
      <c r="D15" s="21" t="str">
        <f t="shared" si="64"/>
        <v>#DIV/0!</v>
      </c>
      <c r="G15" s="5"/>
      <c r="J15" s="5"/>
      <c r="M15" s="5"/>
      <c r="P15" s="5"/>
      <c r="S15" s="5"/>
      <c r="V15" s="5"/>
      <c r="Y15" s="5"/>
      <c r="AB15" s="5"/>
      <c r="AE15" s="5"/>
      <c r="AH15" s="5"/>
      <c r="AK15" s="5"/>
      <c r="AN15" s="5"/>
      <c r="AQ15" s="5"/>
      <c r="AT15" s="5"/>
      <c r="AW15" s="5"/>
      <c r="AZ15" s="5"/>
      <c r="BC15" s="5"/>
      <c r="BF15" s="5"/>
      <c r="BI15" s="5"/>
      <c r="BL15" s="5"/>
      <c r="BO15" s="5"/>
      <c r="BR15" s="5"/>
      <c r="BU15" s="5"/>
      <c r="BX15" s="5"/>
      <c r="CA15" s="5"/>
      <c r="CD15" s="5"/>
      <c r="CG15" s="5"/>
      <c r="CJ15" s="5"/>
      <c r="CM15" s="5"/>
      <c r="CP15" s="5"/>
      <c r="CS15" s="5"/>
      <c r="CT15" s="5"/>
      <c r="CU15" s="5"/>
      <c r="CV15" s="5"/>
      <c r="CW15" s="5"/>
      <c r="CX15" s="5"/>
      <c r="CY15" s="5"/>
      <c r="CZ15" s="5"/>
      <c r="DA15" s="5"/>
      <c r="DB15" s="5"/>
      <c r="DC15" s="5"/>
      <c r="DD15" s="5"/>
      <c r="DE15" s="5"/>
      <c r="DF15" s="5"/>
    </row>
    <row r="16">
      <c r="A16" s="19"/>
      <c r="B16" s="32" t="s">
        <v>42</v>
      </c>
      <c r="D16" s="26" t="str">
        <f>IFERROR(__xludf.DUMMYFUNCTION("AVERAGE(FILTER($E8:DF8, (COLUMN($E8:DF8) - 1) / 3 = ROUND((COLUMN($E8:DF8) - 1) / 3), NOT(ISERROR($E8:DF8))))"),"#DIV/0!")</f>
        <v>#DIV/0!</v>
      </c>
      <c r="G16" s="5"/>
      <c r="J16" s="5"/>
      <c r="M16" s="5"/>
      <c r="P16" s="5"/>
      <c r="S16" s="5"/>
      <c r="V16" s="5"/>
      <c r="Y16" s="5"/>
      <c r="AB16" s="5"/>
      <c r="AE16" s="5"/>
      <c r="AH16" s="5"/>
      <c r="AK16" s="5"/>
      <c r="AN16" s="5"/>
      <c r="AQ16" s="5"/>
      <c r="AT16" s="5"/>
      <c r="AW16" s="5"/>
      <c r="AZ16" s="5"/>
      <c r="BC16" s="5"/>
      <c r="BF16" s="5"/>
      <c r="BI16" s="5"/>
      <c r="BL16" s="5"/>
      <c r="BO16" s="5"/>
      <c r="BR16" s="5"/>
      <c r="BU16" s="5"/>
      <c r="BX16" s="5"/>
      <c r="CA16" s="5"/>
      <c r="CD16" s="5"/>
      <c r="CG16" s="5"/>
      <c r="CJ16" s="5"/>
      <c r="CM16" s="5"/>
      <c r="CP16" s="5"/>
      <c r="CS16" s="5"/>
      <c r="CT16" s="5"/>
      <c r="CU16" s="5"/>
      <c r="CV16" s="5"/>
      <c r="CW16" s="5"/>
      <c r="CX16" s="5"/>
      <c r="CY16" s="5"/>
      <c r="CZ16" s="5"/>
      <c r="DA16" s="5"/>
      <c r="DB16" s="5"/>
      <c r="DC16" s="5"/>
      <c r="DD16" s="5"/>
      <c r="DE16" s="5"/>
      <c r="DF16" s="5"/>
    </row>
    <row r="17">
      <c r="B17" s="1" t="s">
        <v>43</v>
      </c>
      <c r="D17" s="5" t="str">
        <f>SUM(D13:D14)</f>
        <v>#DIV/0!</v>
      </c>
      <c r="G17" s="5"/>
      <c r="J17" s="5"/>
      <c r="M17" s="5"/>
      <c r="P17" s="5"/>
      <c r="S17" s="5"/>
      <c r="V17" s="5"/>
      <c r="Y17" s="5"/>
      <c r="AB17" s="5"/>
      <c r="AE17" s="5"/>
      <c r="AH17" s="5"/>
      <c r="AK17" s="5"/>
      <c r="AN17" s="5"/>
      <c r="AQ17" s="5"/>
      <c r="AT17" s="5"/>
      <c r="AW17" s="5"/>
      <c r="AZ17" s="5"/>
      <c r="BC17" s="5"/>
      <c r="BF17" s="5"/>
      <c r="BI17" s="5"/>
      <c r="BL17" s="5"/>
      <c r="BO17" s="5"/>
      <c r="BR17" s="5"/>
      <c r="BU17" s="5"/>
      <c r="BX17" s="5"/>
      <c r="CA17" s="5"/>
      <c r="CD17" s="5"/>
      <c r="CG17" s="5"/>
      <c r="CJ17" s="5"/>
      <c r="CM17" s="5"/>
      <c r="CP17" s="5"/>
      <c r="CS17" s="5"/>
      <c r="CT17" s="5"/>
      <c r="CU17" s="5"/>
      <c r="CV17" s="5"/>
      <c r="CW17" s="5"/>
      <c r="CX17" s="5"/>
      <c r="CY17" s="5"/>
      <c r="CZ17" s="5"/>
      <c r="DA17" s="5"/>
      <c r="DB17" s="5"/>
      <c r="DC17" s="5"/>
      <c r="DD17" s="5"/>
      <c r="DE17" s="5"/>
      <c r="DF17" s="5"/>
    </row>
    <row r="18">
      <c r="A18" s="14" t="s">
        <v>44</v>
      </c>
      <c r="B18" s="33" t="s">
        <v>45</v>
      </c>
      <c r="G18" s="5"/>
      <c r="J18" s="5"/>
      <c r="M18" s="5"/>
      <c r="P18" s="5"/>
      <c r="S18" s="5"/>
      <c r="V18" s="5"/>
      <c r="Y18" s="5"/>
      <c r="AB18" s="5"/>
      <c r="AE18" s="5"/>
      <c r="AH18" s="5"/>
      <c r="AK18" s="5"/>
      <c r="AN18" s="5"/>
      <c r="AQ18" s="5"/>
      <c r="AT18" s="5"/>
      <c r="AW18" s="5"/>
      <c r="AZ18" s="5"/>
      <c r="BC18" s="5"/>
      <c r="BF18" s="5"/>
      <c r="BI18" s="5"/>
      <c r="BL18" s="5"/>
      <c r="BO18" s="5"/>
      <c r="BR18" s="5"/>
      <c r="BU18" s="5"/>
      <c r="BX18" s="5"/>
      <c r="CA18" s="5"/>
      <c r="CD18" s="5"/>
      <c r="CG18" s="5"/>
      <c r="CJ18" s="5"/>
      <c r="CM18" s="5"/>
      <c r="CP18" s="5"/>
      <c r="CS18" s="5"/>
      <c r="CT18" s="5"/>
      <c r="CU18" s="5"/>
      <c r="CV18" s="5"/>
      <c r="CW18" s="5"/>
      <c r="CX18" s="5"/>
      <c r="CY18" s="5"/>
      <c r="CZ18" s="5"/>
      <c r="DA18" s="5"/>
      <c r="DB18" s="5"/>
      <c r="DC18" s="5"/>
      <c r="DD18" s="5"/>
      <c r="DE18" s="5"/>
      <c r="DF18" s="5"/>
    </row>
    <row r="19">
      <c r="A19" s="14" t="s">
        <v>46</v>
      </c>
      <c r="C19" s="14" t="s">
        <v>34</v>
      </c>
      <c r="D19" s="14" t="s">
        <v>35</v>
      </c>
      <c r="G19" s="5"/>
      <c r="J19" s="5"/>
      <c r="M19" s="5"/>
      <c r="P19" s="5"/>
      <c r="S19" s="5"/>
      <c r="V19" s="5"/>
      <c r="Y19" s="5"/>
      <c r="AB19" s="5"/>
      <c r="AE19" s="5"/>
      <c r="AH19" s="5"/>
      <c r="AK19" s="5"/>
      <c r="AN19" s="5"/>
      <c r="AQ19" s="5"/>
      <c r="AT19" s="5"/>
      <c r="AW19" s="5"/>
      <c r="AZ19" s="5"/>
      <c r="BC19" s="5"/>
      <c r="BF19" s="5"/>
      <c r="BI19" s="5"/>
      <c r="BL19" s="5"/>
      <c r="BO19" s="5"/>
      <c r="BR19" s="5"/>
      <c r="BU19" s="5"/>
      <c r="BX19" s="5"/>
      <c r="CA19" s="5"/>
      <c r="CD19" s="5"/>
      <c r="CG19" s="5"/>
      <c r="CJ19" s="5"/>
      <c r="CM19" s="5"/>
      <c r="CP19" s="5"/>
      <c r="CS19" s="5"/>
      <c r="CT19" s="5"/>
      <c r="CU19" s="5"/>
      <c r="CV19" s="5"/>
      <c r="CW19" s="5"/>
      <c r="CX19" s="5"/>
      <c r="CY19" s="5"/>
      <c r="CZ19" s="5"/>
      <c r="DA19" s="5"/>
      <c r="DB19" s="5"/>
      <c r="DC19" s="5"/>
      <c r="DD19" s="5"/>
      <c r="DE19" s="5"/>
      <c r="DF19" s="5"/>
    </row>
    <row r="20">
      <c r="A20" s="19" t="s">
        <v>47</v>
      </c>
      <c r="B20" s="19" t="s">
        <v>48</v>
      </c>
      <c r="C20" s="21">
        <f t="shared" ref="C20:C23" si="65">COUNTIF($A$26:$A1007, A20)</f>
        <v>2</v>
      </c>
      <c r="D20" s="26">
        <f>IFERROR(__xludf.DUMMYFUNCTION("IF(C20, COUNTIF(FILTER($D$26:$D1007, $A$26:$A1007=A20), TRUE)/C20, 0)"),0.0)</f>
        <v>0</v>
      </c>
      <c r="G20" s="5"/>
      <c r="J20" s="5"/>
      <c r="M20" s="5"/>
      <c r="P20" s="5"/>
      <c r="S20" s="5"/>
      <c r="V20" s="5"/>
      <c r="Y20" s="5"/>
      <c r="AB20" s="5"/>
      <c r="AE20" s="5"/>
      <c r="AH20" s="5"/>
      <c r="AK20" s="5"/>
      <c r="AN20" s="5"/>
      <c r="AQ20" s="5"/>
      <c r="AT20" s="5"/>
      <c r="AW20" s="5"/>
      <c r="AZ20" s="5"/>
      <c r="BC20" s="5"/>
      <c r="BF20" s="5"/>
      <c r="BI20" s="5"/>
      <c r="BL20" s="5"/>
      <c r="BO20" s="5"/>
      <c r="BR20" s="5"/>
      <c r="BU20" s="5"/>
      <c r="BX20" s="5"/>
      <c r="CA20" s="5"/>
      <c r="CD20" s="5"/>
      <c r="CG20" s="5"/>
      <c r="CJ20" s="5"/>
      <c r="CM20" s="5"/>
      <c r="CP20" s="5"/>
      <c r="CS20" s="5"/>
      <c r="CT20" s="5"/>
      <c r="CU20" s="5"/>
      <c r="CV20" s="5"/>
      <c r="CW20" s="5"/>
      <c r="CX20" s="5"/>
      <c r="CY20" s="5"/>
      <c r="CZ20" s="5"/>
      <c r="DA20" s="5"/>
      <c r="DB20" s="5"/>
      <c r="DC20" s="5"/>
      <c r="DD20" s="5"/>
      <c r="DE20" s="5"/>
      <c r="DF20" s="5"/>
    </row>
    <row r="21">
      <c r="A21" s="19" t="s">
        <v>49</v>
      </c>
      <c r="B21" s="19" t="s">
        <v>50</v>
      </c>
      <c r="C21" s="21">
        <f t="shared" si="65"/>
        <v>2</v>
      </c>
      <c r="D21" s="26">
        <f>IFERROR(__xludf.DUMMYFUNCTION("IF(C21, COUNTIF(FILTER($D$26:$D1007, $A$26:$A1007=A21), TRUE)/C21, 0)"),0.0)</f>
        <v>0</v>
      </c>
      <c r="G21" s="5"/>
      <c r="J21" s="5"/>
      <c r="M21" s="5"/>
      <c r="P21" s="5"/>
      <c r="S21" s="5"/>
      <c r="V21" s="5"/>
      <c r="Y21" s="5"/>
      <c r="AB21" s="5"/>
      <c r="AE21" s="5"/>
      <c r="AH21" s="5"/>
      <c r="AK21" s="5"/>
      <c r="AN21" s="5"/>
      <c r="AQ21" s="5"/>
      <c r="AT21" s="5"/>
      <c r="AW21" s="5"/>
      <c r="AZ21" s="5"/>
      <c r="BC21" s="5"/>
      <c r="BF21" s="5"/>
      <c r="BI21" s="5"/>
      <c r="BL21" s="5"/>
      <c r="BO21" s="5"/>
      <c r="BR21" s="5"/>
      <c r="BU21" s="5"/>
      <c r="BX21" s="5"/>
      <c r="CA21" s="5"/>
      <c r="CD21" s="5"/>
      <c r="CG21" s="5"/>
      <c r="CJ21" s="5"/>
      <c r="CM21" s="5"/>
      <c r="CP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0)"),0.0)</f>
        <v>0</v>
      </c>
      <c r="G22" s="5"/>
      <c r="J22" s="5"/>
      <c r="M22" s="5"/>
      <c r="P22" s="5"/>
      <c r="S22" s="5"/>
      <c r="V22" s="5"/>
      <c r="Y22" s="5"/>
      <c r="AB22" s="5"/>
      <c r="AE22" s="5"/>
      <c r="AH22" s="5"/>
      <c r="AK22" s="5"/>
      <c r="AN22" s="5"/>
      <c r="AQ22" s="5"/>
      <c r="AT22" s="5"/>
      <c r="AW22" s="5"/>
      <c r="AZ22" s="5"/>
      <c r="BC22" s="5"/>
      <c r="BF22" s="5"/>
      <c r="BI22" s="5"/>
      <c r="BL22" s="5"/>
      <c r="BO22" s="5"/>
      <c r="BR22" s="5"/>
      <c r="BU22" s="5"/>
      <c r="BX22" s="5"/>
      <c r="CA22" s="5"/>
      <c r="CD22" s="5"/>
      <c r="CG22" s="5"/>
      <c r="CJ22" s="5"/>
      <c r="CM22" s="5"/>
      <c r="CP22" s="5"/>
      <c r="CS22" s="5"/>
      <c r="CT22" s="5"/>
      <c r="CU22" s="5"/>
      <c r="CV22" s="5"/>
      <c r="CW22" s="5"/>
      <c r="CX22" s="5"/>
      <c r="CY22" s="5"/>
      <c r="CZ22" s="5"/>
      <c r="DA22" s="5"/>
      <c r="DB22" s="5"/>
      <c r="DC22" s="5"/>
      <c r="DD22" s="5"/>
      <c r="DE22" s="5"/>
      <c r="DF22" s="5"/>
    </row>
    <row r="23">
      <c r="A23" s="19" t="s">
        <v>53</v>
      </c>
      <c r="B23" s="19" t="s">
        <v>54</v>
      </c>
      <c r="C23" s="21">
        <f t="shared" si="65"/>
        <v>7</v>
      </c>
      <c r="D23" s="26">
        <f>IFERROR(__xludf.DUMMYFUNCTION("IF(C23, COUNTIF(FILTER($D$26:$D1007, $A$26:$A1007=A23), TRUE)/C23, 0)"),0.0)</f>
        <v>0</v>
      </c>
      <c r="G23" s="5"/>
      <c r="J23" s="5"/>
      <c r="M23" s="5"/>
      <c r="P23" s="5"/>
      <c r="S23" s="5"/>
      <c r="V23" s="5"/>
      <c r="Y23" s="5"/>
      <c r="AB23" s="5"/>
      <c r="AE23" s="5"/>
      <c r="AH23" s="5"/>
      <c r="AK23" s="5"/>
      <c r="AN23" s="5"/>
      <c r="AQ23" s="5"/>
      <c r="AT23" s="5"/>
      <c r="AW23" s="5"/>
      <c r="AZ23" s="5"/>
      <c r="BC23" s="5"/>
      <c r="BF23" s="5"/>
      <c r="BI23" s="5"/>
      <c r="BL23" s="5"/>
      <c r="BO23" s="5"/>
      <c r="BR23" s="5"/>
      <c r="BU23" s="5"/>
      <c r="BX23" s="5"/>
      <c r="CA23" s="5"/>
      <c r="CD23" s="5"/>
      <c r="CG23" s="5"/>
      <c r="CJ23" s="5"/>
      <c r="CM23" s="5"/>
      <c r="CP23" s="5"/>
      <c r="CS23" s="5"/>
      <c r="CT23" s="5"/>
      <c r="CU23" s="5"/>
      <c r="CV23" s="5"/>
      <c r="CW23" s="5"/>
      <c r="CX23" s="5"/>
      <c r="CY23" s="5"/>
      <c r="CZ23" s="5"/>
      <c r="DA23" s="5"/>
      <c r="DB23" s="5"/>
      <c r="DC23" s="5"/>
      <c r="DD23" s="5"/>
      <c r="DE23" s="5"/>
      <c r="DF23" s="5"/>
    </row>
    <row r="24">
      <c r="A24" s="19"/>
      <c r="B24" s="14" t="s">
        <v>55</v>
      </c>
      <c r="C24" s="34">
        <f>SUM(C20:C23)</f>
        <v>15</v>
      </c>
      <c r="D24" s="26">
        <f>COUNTIF($D$26:$D1007, TRUE)/C24</f>
        <v>0</v>
      </c>
      <c r="G24" s="5"/>
      <c r="J24" s="5"/>
      <c r="M24" s="5"/>
      <c r="P24" s="5"/>
      <c r="S24" s="5"/>
      <c r="V24" s="5"/>
      <c r="Y24" s="5"/>
      <c r="AB24" s="5"/>
      <c r="AE24" s="5"/>
      <c r="AH24" s="5"/>
      <c r="AK24" s="5"/>
      <c r="AN24" s="5"/>
      <c r="AQ24" s="5"/>
      <c r="AT24" s="5"/>
      <c r="AW24" s="5"/>
      <c r="AZ24" s="5"/>
      <c r="BC24" s="5"/>
      <c r="BF24" s="5"/>
      <c r="BI24" s="5"/>
      <c r="BL24" s="5"/>
      <c r="BO24" s="5"/>
      <c r="BR24" s="5"/>
      <c r="BU24" s="5"/>
      <c r="BX24" s="5"/>
      <c r="CA24" s="5"/>
      <c r="CD24" s="5"/>
      <c r="CG24" s="5"/>
      <c r="CJ24" s="5"/>
      <c r="CM24" s="5"/>
      <c r="CP24" s="5"/>
      <c r="CS24" s="5"/>
      <c r="CT24" s="5"/>
      <c r="CU24" s="5"/>
      <c r="CV24" s="5"/>
      <c r="CW24" s="5"/>
      <c r="CX24" s="5"/>
      <c r="CY24" s="5"/>
      <c r="CZ24" s="5"/>
      <c r="DA24" s="5"/>
      <c r="DB24" s="5"/>
      <c r="DC24" s="5"/>
      <c r="DD24" s="5"/>
      <c r="DE24" s="5"/>
      <c r="DF24" s="5"/>
    </row>
    <row r="25">
      <c r="A25" s="14" t="s">
        <v>56</v>
      </c>
      <c r="B25" s="14" t="s">
        <v>57</v>
      </c>
      <c r="C25" s="14" t="s">
        <v>58</v>
      </c>
      <c r="D25" s="32" t="s">
        <v>59</v>
      </c>
      <c r="G25" s="5"/>
      <c r="J25" s="5"/>
      <c r="M25" s="5"/>
      <c r="P25" s="5"/>
      <c r="S25" s="5"/>
      <c r="V25" s="5"/>
      <c r="Y25" s="5"/>
      <c r="AB25" s="5"/>
      <c r="AE25" s="5"/>
      <c r="AH25" s="5"/>
      <c r="AK25" s="5"/>
      <c r="AN25" s="5"/>
      <c r="AQ25" s="5"/>
      <c r="AT25" s="5"/>
      <c r="AW25" s="5"/>
      <c r="AZ25" s="5"/>
      <c r="BC25" s="5"/>
      <c r="BF25" s="5"/>
      <c r="BI25" s="5"/>
      <c r="BL25" s="5"/>
      <c r="BO25" s="5"/>
      <c r="BR25" s="5"/>
      <c r="BU25" s="5"/>
      <c r="BX25" s="5"/>
      <c r="CA25" s="5"/>
      <c r="CD25" s="5"/>
      <c r="CG25" s="5"/>
      <c r="CJ25" s="5"/>
      <c r="CM25" s="5"/>
      <c r="CP25" s="5"/>
      <c r="CS25" s="5"/>
      <c r="CT25" s="5"/>
      <c r="CU25" s="5"/>
      <c r="CV25" s="5"/>
      <c r="CW25" s="5"/>
      <c r="CX25" s="5"/>
      <c r="CY25" s="5"/>
      <c r="CZ25" s="5"/>
      <c r="DA25" s="5"/>
      <c r="DB25" s="5"/>
      <c r="DC25" s="5"/>
      <c r="DD25" s="5"/>
      <c r="DE25" s="5"/>
      <c r="DF25" s="5"/>
    </row>
    <row r="26">
      <c r="A26" s="19" t="s">
        <v>51</v>
      </c>
      <c r="B26" s="19" t="s">
        <v>60</v>
      </c>
      <c r="C26" s="21">
        <v>1.0</v>
      </c>
      <c r="D26" s="35" t="b">
        <v>0</v>
      </c>
      <c r="G26" s="5"/>
      <c r="J26" s="5"/>
      <c r="M26" s="5"/>
      <c r="P26" s="5"/>
      <c r="S26" s="5"/>
      <c r="V26" s="5"/>
      <c r="Y26" s="5"/>
      <c r="AB26" s="5"/>
      <c r="AE26" s="5"/>
      <c r="AH26" s="5"/>
      <c r="AK26" s="5"/>
      <c r="AN26" s="5"/>
      <c r="AQ26" s="5"/>
      <c r="AT26" s="5"/>
      <c r="AW26" s="5"/>
      <c r="AZ26" s="5"/>
      <c r="BC26" s="5"/>
      <c r="BF26" s="5"/>
      <c r="BI26" s="5"/>
      <c r="BL26" s="5"/>
      <c r="BO26" s="5"/>
      <c r="BR26" s="5"/>
      <c r="BU26" s="5"/>
      <c r="BX26" s="5"/>
      <c r="CA26" s="5"/>
      <c r="CD26" s="5"/>
      <c r="CG26" s="5"/>
      <c r="CJ26" s="5"/>
      <c r="CM26" s="5"/>
      <c r="CP26" s="5"/>
      <c r="CS26" s="5"/>
      <c r="CT26" s="5"/>
      <c r="CU26" s="5"/>
      <c r="CV26" s="5"/>
      <c r="CW26" s="5"/>
      <c r="CX26" s="5"/>
      <c r="CY26" s="5"/>
      <c r="CZ26" s="5"/>
      <c r="DA26" s="5"/>
      <c r="DB26" s="5"/>
      <c r="DC26" s="5"/>
      <c r="DD26" s="5"/>
      <c r="DE26" s="5"/>
      <c r="DF26" s="5"/>
    </row>
    <row r="27">
      <c r="A27" s="19" t="s">
        <v>49</v>
      </c>
      <c r="B27" s="19" t="s">
        <v>61</v>
      </c>
      <c r="C27" s="21">
        <v>10.0</v>
      </c>
      <c r="D27" s="35" t="b">
        <v>0</v>
      </c>
      <c r="G27" s="5"/>
      <c r="J27" s="5"/>
      <c r="M27" s="5"/>
      <c r="P27" s="5"/>
      <c r="S27" s="5"/>
      <c r="V27" s="5"/>
      <c r="Y27" s="5"/>
      <c r="AB27" s="5"/>
      <c r="AE27" s="5"/>
      <c r="AH27" s="5"/>
      <c r="AK27" s="5"/>
      <c r="AN27" s="5"/>
      <c r="AQ27" s="5"/>
      <c r="AT27" s="5"/>
      <c r="AW27" s="5"/>
      <c r="AZ27" s="5"/>
      <c r="BC27" s="5"/>
      <c r="BF27" s="5"/>
      <c r="BI27" s="5"/>
      <c r="BL27" s="5"/>
      <c r="BO27" s="5"/>
      <c r="BR27" s="5"/>
      <c r="BU27" s="5"/>
      <c r="BX27" s="5"/>
      <c r="CA27" s="5"/>
      <c r="CD27" s="5"/>
      <c r="CG27" s="5"/>
      <c r="CJ27" s="5"/>
      <c r="CM27" s="5"/>
      <c r="CP27" s="5"/>
      <c r="CS27" s="5"/>
      <c r="CT27" s="5"/>
      <c r="CU27" s="5"/>
      <c r="CV27" s="5"/>
      <c r="CW27" s="5"/>
      <c r="CX27" s="5"/>
      <c r="CY27" s="5"/>
      <c r="CZ27" s="5"/>
      <c r="DA27" s="5"/>
      <c r="DB27" s="5"/>
      <c r="DC27" s="5"/>
      <c r="DD27" s="5"/>
      <c r="DE27" s="5"/>
      <c r="DF27" s="5"/>
    </row>
    <row r="28">
      <c r="A28" s="19" t="s">
        <v>53</v>
      </c>
      <c r="B28" s="19" t="s">
        <v>62</v>
      </c>
      <c r="C28" s="21">
        <v>26.0</v>
      </c>
      <c r="D28" s="35" t="b">
        <v>0</v>
      </c>
      <c r="G28" s="5"/>
      <c r="J28" s="5"/>
      <c r="M28" s="5"/>
      <c r="P28" s="5"/>
      <c r="S28" s="5"/>
      <c r="V28" s="5"/>
      <c r="Y28" s="5"/>
      <c r="AB28" s="5"/>
      <c r="AE28" s="5"/>
      <c r="AH28" s="5"/>
      <c r="AK28" s="5"/>
      <c r="AN28" s="5"/>
      <c r="AQ28" s="5"/>
      <c r="AT28" s="5"/>
      <c r="AW28" s="5"/>
      <c r="AZ28" s="5"/>
      <c r="BC28" s="5"/>
      <c r="BF28" s="5"/>
      <c r="BI28" s="5"/>
      <c r="BL28" s="5"/>
      <c r="BO28" s="5"/>
      <c r="BR28" s="5"/>
      <c r="BU28" s="5"/>
      <c r="BX28" s="5"/>
      <c r="CA28" s="5"/>
      <c r="CD28" s="5"/>
      <c r="CG28" s="5"/>
      <c r="CJ28" s="5"/>
      <c r="CM28" s="5"/>
      <c r="CP28" s="5"/>
      <c r="CS28" s="5"/>
      <c r="CT28" s="5"/>
      <c r="CU28" s="5"/>
      <c r="CV28" s="5"/>
      <c r="CW28" s="5"/>
      <c r="CX28" s="5"/>
      <c r="CY28" s="5"/>
      <c r="CZ28" s="5"/>
      <c r="DA28" s="5"/>
      <c r="DB28" s="5"/>
      <c r="DC28" s="5"/>
      <c r="DD28" s="5"/>
      <c r="DE28" s="5"/>
      <c r="DF28" s="5"/>
    </row>
    <row r="29">
      <c r="A29" s="19" t="s">
        <v>47</v>
      </c>
      <c r="B29" s="19" t="s">
        <v>63</v>
      </c>
      <c r="C29" s="21">
        <v>45.0</v>
      </c>
      <c r="D29" s="35" t="b">
        <v>0</v>
      </c>
      <c r="G29" s="5"/>
      <c r="J29" s="5"/>
      <c r="M29" s="5"/>
      <c r="P29" s="5"/>
      <c r="S29" s="5"/>
      <c r="V29" s="5"/>
      <c r="Y29" s="5"/>
      <c r="AB29" s="5"/>
      <c r="AE29" s="5"/>
      <c r="AH29" s="5"/>
      <c r="AK29" s="5"/>
      <c r="AN29" s="5"/>
      <c r="AQ29" s="5"/>
      <c r="AT29" s="5"/>
      <c r="AW29" s="5"/>
      <c r="AZ29" s="5"/>
      <c r="BC29" s="5"/>
      <c r="BF29" s="5"/>
      <c r="BI29" s="5"/>
      <c r="BL29" s="5"/>
      <c r="BO29" s="5"/>
      <c r="BR29" s="5"/>
      <c r="BU29" s="5"/>
      <c r="BX29" s="5"/>
      <c r="CA29" s="5"/>
      <c r="CD29" s="5"/>
      <c r="CG29" s="5"/>
      <c r="CJ29" s="5"/>
      <c r="CM29" s="5"/>
      <c r="CP29" s="5"/>
      <c r="CS29" s="5"/>
      <c r="CT29" s="5"/>
      <c r="CU29" s="5"/>
      <c r="CV29" s="5"/>
      <c r="CW29" s="5"/>
      <c r="CX29" s="5"/>
      <c r="CY29" s="5"/>
      <c r="CZ29" s="5"/>
      <c r="DA29" s="5"/>
      <c r="DB29" s="5"/>
      <c r="DC29" s="5"/>
      <c r="DD29" s="5"/>
      <c r="DE29" s="5"/>
      <c r="DF29" s="5"/>
    </row>
    <row r="30">
      <c r="A30" s="19" t="s">
        <v>51</v>
      </c>
      <c r="B30" s="19" t="s">
        <v>64</v>
      </c>
      <c r="C30" s="21">
        <v>45.0</v>
      </c>
      <c r="D30" s="35" t="b">
        <v>0</v>
      </c>
      <c r="G30" s="5"/>
      <c r="J30" s="5"/>
      <c r="M30" s="5"/>
      <c r="P30" s="5"/>
      <c r="S30" s="5"/>
      <c r="V30" s="5"/>
      <c r="Y30" s="5"/>
      <c r="AB30" s="5"/>
      <c r="AE30" s="5"/>
      <c r="AH30" s="5"/>
      <c r="AK30" s="5"/>
      <c r="AN30" s="5"/>
      <c r="AQ30" s="5"/>
      <c r="AT30" s="5"/>
      <c r="AW30" s="5"/>
      <c r="AZ30" s="5"/>
      <c r="BC30" s="5"/>
      <c r="BF30" s="5"/>
      <c r="BI30" s="5"/>
      <c r="BL30" s="5"/>
      <c r="BO30" s="5"/>
      <c r="BR30" s="5"/>
      <c r="BU30" s="5"/>
      <c r="BX30" s="5"/>
      <c r="CA30" s="5"/>
      <c r="CD30" s="5"/>
      <c r="CG30" s="5"/>
      <c r="CJ30" s="5"/>
      <c r="CM30" s="5"/>
      <c r="CP30" s="5"/>
      <c r="CS30" s="5"/>
      <c r="CT30" s="5"/>
      <c r="CU30" s="5"/>
      <c r="CV30" s="5"/>
      <c r="CW30" s="5"/>
      <c r="CX30" s="5"/>
      <c r="CY30" s="5"/>
      <c r="CZ30" s="5"/>
      <c r="DA30" s="5"/>
      <c r="DB30" s="5"/>
      <c r="DC30" s="5"/>
      <c r="DD30" s="5"/>
      <c r="DE30" s="5"/>
      <c r="DF30" s="5"/>
    </row>
    <row r="31">
      <c r="A31" s="19" t="s">
        <v>51</v>
      </c>
      <c r="B31" s="19" t="s">
        <v>65</v>
      </c>
      <c r="C31" s="21">
        <v>46.0</v>
      </c>
      <c r="D31" s="35" t="b">
        <v>0</v>
      </c>
      <c r="G31" s="5"/>
      <c r="J31" s="5"/>
      <c r="M31" s="5"/>
      <c r="P31" s="5"/>
      <c r="S31" s="5"/>
      <c r="V31" s="5"/>
      <c r="Y31" s="5"/>
      <c r="AB31" s="5"/>
      <c r="AE31" s="5"/>
      <c r="AH31" s="5"/>
      <c r="AK31" s="5"/>
      <c r="AN31" s="5"/>
      <c r="AQ31" s="5"/>
      <c r="AT31" s="5"/>
      <c r="AW31" s="5"/>
      <c r="AZ31" s="5"/>
      <c r="BC31" s="5"/>
      <c r="BF31" s="5"/>
      <c r="BI31" s="5"/>
      <c r="BL31" s="5"/>
      <c r="BO31" s="5"/>
      <c r="BR31" s="5"/>
      <c r="BU31" s="5"/>
      <c r="BX31" s="5"/>
      <c r="CA31" s="5"/>
      <c r="CD31" s="5"/>
      <c r="CG31" s="5"/>
      <c r="CJ31" s="5"/>
      <c r="CM31" s="5"/>
      <c r="CP31" s="5"/>
      <c r="CS31" s="5"/>
      <c r="CT31" s="5"/>
      <c r="CU31" s="5"/>
      <c r="CV31" s="5"/>
      <c r="CW31" s="5"/>
      <c r="CX31" s="5"/>
      <c r="CY31" s="5"/>
      <c r="CZ31" s="5"/>
      <c r="DA31" s="5"/>
      <c r="DB31" s="5"/>
      <c r="DC31" s="5"/>
      <c r="DD31" s="5"/>
      <c r="DE31" s="5"/>
      <c r="DF31" s="5"/>
    </row>
    <row r="32">
      <c r="A32" s="19" t="s">
        <v>49</v>
      </c>
      <c r="B32" s="19" t="s">
        <v>66</v>
      </c>
      <c r="C32" s="21">
        <v>52.0</v>
      </c>
      <c r="D32" s="35" t="b">
        <v>0</v>
      </c>
      <c r="G32" s="5"/>
      <c r="J32" s="5"/>
      <c r="M32" s="5"/>
      <c r="P32" s="5"/>
      <c r="S32" s="5"/>
      <c r="V32" s="5"/>
      <c r="Y32" s="5"/>
      <c r="AB32" s="5"/>
      <c r="AE32" s="5"/>
      <c r="AH32" s="5"/>
      <c r="AK32" s="5"/>
      <c r="AN32" s="5"/>
      <c r="AQ32" s="5"/>
      <c r="AT32" s="5"/>
      <c r="AW32" s="5"/>
      <c r="AZ32" s="5"/>
      <c r="BC32" s="5"/>
      <c r="BF32" s="5"/>
      <c r="BI32" s="5"/>
      <c r="BL32" s="5"/>
      <c r="BO32" s="5"/>
      <c r="BR32" s="5"/>
      <c r="BU32" s="5"/>
      <c r="BX32" s="5"/>
      <c r="CA32" s="5"/>
      <c r="CD32" s="5"/>
      <c r="CG32" s="5"/>
      <c r="CJ32" s="5"/>
      <c r="CM32" s="5"/>
      <c r="CP32" s="5"/>
      <c r="CS32" s="5"/>
      <c r="CT32" s="5"/>
      <c r="CU32" s="5"/>
      <c r="CV32" s="5"/>
      <c r="CW32" s="5"/>
      <c r="CX32" s="5"/>
      <c r="CY32" s="5"/>
      <c r="CZ32" s="5"/>
      <c r="DA32" s="5"/>
      <c r="DB32" s="5"/>
      <c r="DC32" s="5"/>
      <c r="DD32" s="5"/>
      <c r="DE32" s="5"/>
      <c r="DF32" s="5"/>
    </row>
    <row r="33">
      <c r="A33" s="19" t="s">
        <v>53</v>
      </c>
      <c r="B33" s="19" t="s">
        <v>67</v>
      </c>
      <c r="C33" s="21">
        <v>57.0</v>
      </c>
      <c r="D33" s="35" t="b">
        <v>0</v>
      </c>
      <c r="G33" s="5"/>
      <c r="J33" s="5"/>
      <c r="M33" s="5"/>
      <c r="P33" s="5"/>
      <c r="S33" s="5"/>
      <c r="V33" s="5"/>
      <c r="Y33" s="5"/>
      <c r="AB33" s="5"/>
      <c r="AE33" s="5"/>
      <c r="AH33" s="5"/>
      <c r="AK33" s="5"/>
      <c r="AN33" s="5"/>
      <c r="AQ33" s="5"/>
      <c r="AT33" s="5"/>
      <c r="AW33" s="5"/>
      <c r="AZ33" s="5"/>
      <c r="BC33" s="5"/>
      <c r="BF33" s="5"/>
      <c r="BI33" s="5"/>
      <c r="BL33" s="5"/>
      <c r="BO33" s="5"/>
      <c r="BR33" s="5"/>
      <c r="BU33" s="5"/>
      <c r="BX33" s="5"/>
      <c r="CA33" s="5"/>
      <c r="CD33" s="5"/>
      <c r="CG33" s="5"/>
      <c r="CJ33" s="5"/>
      <c r="CM33" s="5"/>
      <c r="CP33" s="5"/>
      <c r="CS33" s="5"/>
      <c r="CT33" s="5"/>
      <c r="CU33" s="5"/>
      <c r="CV33" s="5"/>
      <c r="CW33" s="5"/>
      <c r="CX33" s="5"/>
      <c r="CY33" s="5"/>
      <c r="CZ33" s="5"/>
      <c r="DA33" s="5"/>
      <c r="DB33" s="5"/>
      <c r="DC33" s="5"/>
      <c r="DD33" s="5"/>
      <c r="DE33" s="5"/>
      <c r="DF33" s="5"/>
    </row>
    <row r="34">
      <c r="A34" s="19" t="s">
        <v>47</v>
      </c>
      <c r="B34" s="19" t="s">
        <v>68</v>
      </c>
      <c r="C34" s="21">
        <v>66.0</v>
      </c>
      <c r="D34" s="35" t="b">
        <v>0</v>
      </c>
      <c r="G34" s="5"/>
      <c r="J34" s="5"/>
      <c r="M34" s="5"/>
      <c r="P34" s="5"/>
      <c r="S34" s="5"/>
      <c r="V34" s="5"/>
      <c r="Y34" s="5"/>
      <c r="AB34" s="5"/>
      <c r="AE34" s="5"/>
      <c r="AH34" s="5"/>
      <c r="AK34" s="5"/>
      <c r="AN34" s="5"/>
      <c r="AQ34" s="5"/>
      <c r="AT34" s="5"/>
      <c r="AW34" s="5"/>
      <c r="AZ34" s="5"/>
      <c r="BC34" s="5"/>
      <c r="BF34" s="5"/>
      <c r="BI34" s="5"/>
      <c r="BL34" s="5"/>
      <c r="BO34" s="5"/>
      <c r="BR34" s="5"/>
      <c r="BU34" s="5"/>
      <c r="BX34" s="5"/>
      <c r="CA34" s="5"/>
      <c r="CD34" s="5"/>
      <c r="CG34" s="5"/>
      <c r="CJ34" s="5"/>
      <c r="CM34" s="5"/>
      <c r="CP34" s="5"/>
      <c r="CS34" s="5"/>
      <c r="CT34" s="5"/>
      <c r="CU34" s="5"/>
      <c r="CV34" s="5"/>
      <c r="CW34" s="5"/>
      <c r="CX34" s="5"/>
      <c r="CY34" s="5"/>
      <c r="CZ34" s="5"/>
      <c r="DA34" s="5"/>
      <c r="DB34" s="5"/>
      <c r="DC34" s="5"/>
      <c r="DD34" s="5"/>
      <c r="DE34" s="5"/>
      <c r="DF34" s="5"/>
    </row>
    <row r="35">
      <c r="A35" s="19" t="s">
        <v>53</v>
      </c>
      <c r="B35" s="19" t="s">
        <v>69</v>
      </c>
      <c r="C35" s="21">
        <v>75.0</v>
      </c>
      <c r="D35" s="35" t="b">
        <v>0</v>
      </c>
      <c r="G35" s="5"/>
      <c r="J35" s="5"/>
      <c r="M35" s="5"/>
      <c r="P35" s="5"/>
      <c r="S35" s="5"/>
      <c r="V35" s="5"/>
      <c r="Y35" s="5"/>
      <c r="AB35" s="5"/>
      <c r="AE35" s="5"/>
      <c r="AH35" s="5"/>
      <c r="AK35" s="5"/>
      <c r="AN35" s="5"/>
      <c r="AQ35" s="5"/>
      <c r="AT35" s="5"/>
      <c r="AW35" s="5"/>
      <c r="AZ35" s="5"/>
      <c r="BC35" s="5"/>
      <c r="BF35" s="5"/>
      <c r="BI35" s="5"/>
      <c r="BL35" s="5"/>
      <c r="BO35" s="5"/>
      <c r="BR35" s="5"/>
      <c r="BU35" s="5"/>
      <c r="BX35" s="5"/>
      <c r="CA35" s="5"/>
      <c r="CD35" s="5"/>
      <c r="CG35" s="5"/>
      <c r="CJ35" s="5"/>
      <c r="CM35" s="5"/>
      <c r="CP35" s="5"/>
      <c r="CS35" s="5"/>
      <c r="CT35" s="5"/>
      <c r="CU35" s="5"/>
      <c r="CV35" s="5"/>
      <c r="CW35" s="5"/>
      <c r="CX35" s="5"/>
      <c r="CY35" s="5"/>
      <c r="CZ35" s="5"/>
      <c r="DA35" s="5"/>
      <c r="DB35" s="5"/>
      <c r="DC35" s="5"/>
      <c r="DD35" s="5"/>
      <c r="DE35" s="5"/>
      <c r="DF35" s="5"/>
    </row>
    <row r="36">
      <c r="A36" s="19" t="s">
        <v>53</v>
      </c>
      <c r="B36" s="19" t="s">
        <v>70</v>
      </c>
      <c r="C36" s="21">
        <v>76.0</v>
      </c>
      <c r="D36" s="35" t="b">
        <v>0</v>
      </c>
      <c r="G36" s="5"/>
      <c r="J36" s="5"/>
      <c r="M36" s="5"/>
      <c r="P36" s="5"/>
      <c r="S36" s="5"/>
      <c r="V36" s="5"/>
      <c r="Y36" s="5"/>
      <c r="AB36" s="5"/>
      <c r="AE36" s="5"/>
      <c r="AH36" s="5"/>
      <c r="AK36" s="5"/>
      <c r="AN36" s="5"/>
      <c r="AQ36" s="5"/>
      <c r="AT36" s="5"/>
      <c r="AW36" s="5"/>
      <c r="AZ36" s="5"/>
      <c r="BC36" s="5"/>
      <c r="BF36" s="5"/>
      <c r="BI36" s="5"/>
      <c r="BL36" s="5"/>
      <c r="BO36" s="5"/>
      <c r="BR36" s="5"/>
      <c r="BU36" s="5"/>
      <c r="BX36" s="5"/>
      <c r="CA36" s="5"/>
      <c r="CD36" s="5"/>
      <c r="CG36" s="5"/>
      <c r="CJ36" s="5"/>
      <c r="CM36" s="5"/>
      <c r="CP36" s="5"/>
      <c r="CS36" s="5"/>
      <c r="CT36" s="5"/>
      <c r="CU36" s="5"/>
      <c r="CV36" s="5"/>
      <c r="CW36" s="5"/>
      <c r="CX36" s="5"/>
      <c r="CY36" s="5"/>
      <c r="CZ36" s="5"/>
      <c r="DA36" s="5"/>
      <c r="DB36" s="5"/>
      <c r="DC36" s="5"/>
      <c r="DD36" s="5"/>
      <c r="DE36" s="5"/>
      <c r="DF36" s="5"/>
    </row>
    <row r="37">
      <c r="A37" s="19" t="s">
        <v>53</v>
      </c>
      <c r="B37" s="19" t="s">
        <v>71</v>
      </c>
      <c r="C37" s="21">
        <v>76.0</v>
      </c>
      <c r="D37" s="35" t="b">
        <v>0</v>
      </c>
      <c r="G37" s="5"/>
      <c r="J37" s="5"/>
      <c r="M37" s="5"/>
      <c r="P37" s="5"/>
      <c r="S37" s="5"/>
      <c r="V37" s="5"/>
      <c r="Y37" s="5"/>
      <c r="AB37" s="5"/>
      <c r="AE37" s="5"/>
      <c r="AH37" s="5"/>
      <c r="AK37" s="5"/>
      <c r="AN37" s="5"/>
      <c r="AQ37" s="5"/>
      <c r="AT37" s="5"/>
      <c r="AW37" s="5"/>
      <c r="AZ37" s="5"/>
      <c r="BC37" s="5"/>
      <c r="BF37" s="5"/>
      <c r="BI37" s="5"/>
      <c r="BL37" s="5"/>
      <c r="BO37" s="5"/>
      <c r="BR37" s="5"/>
      <c r="BU37" s="5"/>
      <c r="BX37" s="5"/>
      <c r="CA37" s="5"/>
      <c r="CD37" s="5"/>
      <c r="CG37" s="5"/>
      <c r="CJ37" s="5"/>
      <c r="CM37" s="5"/>
      <c r="CP37" s="5"/>
      <c r="CS37" s="5"/>
      <c r="CT37" s="5"/>
      <c r="CU37" s="5"/>
      <c r="CV37" s="5"/>
      <c r="CW37" s="5"/>
      <c r="CX37" s="5"/>
      <c r="CY37" s="5"/>
      <c r="CZ37" s="5"/>
      <c r="DA37" s="5"/>
      <c r="DB37" s="5"/>
      <c r="DC37" s="5"/>
      <c r="DD37" s="5"/>
      <c r="DE37" s="5"/>
      <c r="DF37" s="5"/>
    </row>
    <row r="38">
      <c r="A38" s="19" t="s">
        <v>53</v>
      </c>
      <c r="B38" s="19" t="s">
        <v>72</v>
      </c>
      <c r="C38" s="21">
        <v>84.0</v>
      </c>
      <c r="D38" s="35" t="b">
        <v>0</v>
      </c>
      <c r="G38" s="5"/>
      <c r="J38" s="5"/>
      <c r="M38" s="5"/>
      <c r="P38" s="5"/>
      <c r="S38" s="5"/>
      <c r="V38" s="5"/>
      <c r="Y38" s="5"/>
      <c r="AB38" s="5"/>
      <c r="AE38" s="5"/>
      <c r="AH38" s="5"/>
      <c r="AK38" s="5"/>
      <c r="AN38" s="5"/>
      <c r="AQ38" s="5"/>
      <c r="AT38" s="5"/>
      <c r="AW38" s="5"/>
      <c r="AZ38" s="5"/>
      <c r="BC38" s="5"/>
      <c r="BF38" s="5"/>
      <c r="BI38" s="5"/>
      <c r="BL38" s="5"/>
      <c r="BO38" s="5"/>
      <c r="BR38" s="5"/>
      <c r="BU38" s="5"/>
      <c r="BX38" s="5"/>
      <c r="CA38" s="5"/>
      <c r="CD38" s="5"/>
      <c r="CG38" s="5"/>
      <c r="CJ38" s="5"/>
      <c r="CM38" s="5"/>
      <c r="CP38" s="5"/>
      <c r="CS38" s="5"/>
      <c r="CT38" s="5"/>
      <c r="CU38" s="5"/>
      <c r="CV38" s="5"/>
      <c r="CW38" s="5"/>
      <c r="CX38" s="5"/>
      <c r="CY38" s="5"/>
      <c r="CZ38" s="5"/>
      <c r="DA38" s="5"/>
      <c r="DB38" s="5"/>
      <c r="DC38" s="5"/>
      <c r="DD38" s="5"/>
      <c r="DE38" s="5"/>
      <c r="DF38" s="5"/>
    </row>
    <row r="39">
      <c r="A39" s="19" t="s">
        <v>53</v>
      </c>
      <c r="B39" s="19" t="s">
        <v>73</v>
      </c>
      <c r="C39" s="21">
        <v>87.0</v>
      </c>
      <c r="D39" s="35" t="b">
        <v>0</v>
      </c>
      <c r="G39" s="5"/>
      <c r="J39" s="5"/>
      <c r="M39" s="5"/>
      <c r="P39" s="5"/>
      <c r="S39" s="5"/>
      <c r="V39" s="5"/>
      <c r="Y39" s="5"/>
      <c r="AB39" s="5"/>
      <c r="AE39" s="5"/>
      <c r="AH39" s="5"/>
      <c r="AK39" s="5"/>
      <c r="AN39" s="5"/>
      <c r="AQ39" s="5"/>
      <c r="AT39" s="5"/>
      <c r="AW39" s="5"/>
      <c r="AZ39" s="5"/>
      <c r="BC39" s="5"/>
      <c r="BF39" s="5"/>
      <c r="BI39" s="5"/>
      <c r="BL39" s="5"/>
      <c r="BO39" s="5"/>
      <c r="BR39" s="5"/>
      <c r="BU39" s="5"/>
      <c r="BX39" s="5"/>
      <c r="CA39" s="5"/>
      <c r="CD39" s="5"/>
      <c r="CG39" s="5"/>
      <c r="CJ39" s="5"/>
      <c r="CM39" s="5"/>
      <c r="CP39" s="5"/>
      <c r="CS39" s="5"/>
      <c r="CT39" s="5"/>
      <c r="CU39" s="5"/>
      <c r="CV39" s="5"/>
      <c r="CW39" s="5"/>
      <c r="CX39" s="5"/>
      <c r="CY39" s="5"/>
      <c r="CZ39" s="5"/>
      <c r="DA39" s="5"/>
      <c r="DB39" s="5"/>
      <c r="DC39" s="5"/>
      <c r="DD39" s="5"/>
      <c r="DE39" s="5"/>
      <c r="DF39" s="5"/>
    </row>
    <row r="40">
      <c r="A40" s="19" t="s">
        <v>51</v>
      </c>
      <c r="B40" s="19" t="s">
        <v>74</v>
      </c>
      <c r="C40" s="21">
        <v>90.0</v>
      </c>
      <c r="D40" s="35" t="b">
        <v>0</v>
      </c>
      <c r="G40" s="5"/>
      <c r="J40" s="5"/>
      <c r="M40" s="5"/>
      <c r="P40" s="5"/>
      <c r="S40" s="5"/>
      <c r="V40" s="5"/>
      <c r="Y40" s="5"/>
      <c r="AB40" s="5"/>
      <c r="AE40" s="5"/>
      <c r="AH40" s="5"/>
      <c r="AK40" s="5"/>
      <c r="AN40" s="5"/>
      <c r="AQ40" s="5"/>
      <c r="AT40" s="5"/>
      <c r="AW40" s="5"/>
      <c r="AZ40" s="5"/>
      <c r="BC40" s="5"/>
      <c r="BF40" s="5"/>
      <c r="BI40" s="5"/>
      <c r="BL40" s="5"/>
      <c r="BO40" s="5"/>
      <c r="BR40" s="5"/>
      <c r="BU40" s="5"/>
      <c r="BX40" s="5"/>
      <c r="CA40" s="5"/>
      <c r="CD40" s="5"/>
      <c r="CG40" s="5"/>
      <c r="CJ40" s="5"/>
      <c r="CM40" s="5"/>
      <c r="CP40" s="5"/>
      <c r="CS40" s="5"/>
      <c r="CT40" s="5"/>
      <c r="CU40" s="5"/>
      <c r="CV40" s="5"/>
      <c r="CW40" s="5"/>
      <c r="CX40" s="5"/>
      <c r="CY40" s="5"/>
      <c r="CZ40" s="5"/>
      <c r="DA40" s="5"/>
      <c r="DB40" s="5"/>
      <c r="DC40" s="5"/>
      <c r="DD40" s="5"/>
      <c r="DE40" s="5"/>
      <c r="DF40" s="5"/>
    </row>
    <row r="41">
      <c r="G41" s="5"/>
      <c r="J41" s="5"/>
      <c r="M41" s="5"/>
      <c r="P41" s="5"/>
      <c r="S41" s="5"/>
      <c r="V41" s="5"/>
      <c r="Y41" s="5"/>
      <c r="AB41" s="5"/>
      <c r="AE41" s="5"/>
      <c r="AH41" s="5"/>
      <c r="AK41" s="5"/>
      <c r="AN41" s="5"/>
      <c r="AQ41" s="5"/>
      <c r="AT41" s="5"/>
      <c r="AW41" s="5"/>
      <c r="AZ41" s="5"/>
      <c r="BC41" s="5"/>
      <c r="BF41" s="5"/>
      <c r="BI41" s="5"/>
      <c r="BL41" s="5"/>
      <c r="BO41" s="5"/>
      <c r="BR41" s="5"/>
      <c r="BU41" s="5"/>
      <c r="BX41" s="5"/>
      <c r="CA41" s="5"/>
      <c r="CD41" s="5"/>
      <c r="CG41" s="5"/>
      <c r="CJ41" s="5"/>
      <c r="CM41" s="5"/>
      <c r="CP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N42" s="5"/>
      <c r="AQ42" s="5"/>
      <c r="AT42" s="5"/>
      <c r="AW42" s="5"/>
      <c r="AZ42" s="5"/>
      <c r="BC42" s="5"/>
      <c r="BF42" s="5"/>
      <c r="BI42" s="5"/>
      <c r="BL42" s="5"/>
      <c r="BO42" s="5"/>
      <c r="BR42" s="5"/>
      <c r="BU42" s="5"/>
      <c r="BX42" s="5"/>
      <c r="CA42" s="5"/>
      <c r="CD42" s="5"/>
      <c r="CG42" s="5"/>
      <c r="CJ42" s="5"/>
      <c r="CM42" s="5"/>
      <c r="CP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N43" s="5"/>
      <c r="AQ43" s="5"/>
      <c r="AT43" s="5"/>
      <c r="AW43" s="5"/>
      <c r="AZ43" s="5"/>
      <c r="BC43" s="5"/>
      <c r="BF43" s="5"/>
      <c r="BI43" s="5"/>
      <c r="BL43" s="5"/>
      <c r="BO43" s="5"/>
      <c r="BR43" s="5"/>
      <c r="BU43" s="5"/>
      <c r="BX43" s="5"/>
      <c r="CA43" s="5"/>
      <c r="CD43" s="5"/>
      <c r="CG43" s="5"/>
      <c r="CJ43" s="5"/>
      <c r="CM43" s="5"/>
      <c r="CP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N44" s="5"/>
      <c r="AQ44" s="5"/>
      <c r="AT44" s="5"/>
      <c r="AW44" s="5"/>
      <c r="AZ44" s="5"/>
      <c r="BC44" s="5"/>
      <c r="BF44" s="5"/>
      <c r="BI44" s="5"/>
      <c r="BL44" s="5"/>
      <c r="BO44" s="5"/>
      <c r="BR44" s="5"/>
      <c r="BU44" s="5"/>
      <c r="BX44" s="5"/>
      <c r="CA44" s="5"/>
      <c r="CD44" s="5"/>
      <c r="CG44" s="5"/>
      <c r="CJ44" s="5"/>
      <c r="CM44" s="5"/>
      <c r="CP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N45" s="5"/>
      <c r="AQ45" s="5"/>
      <c r="AT45" s="5"/>
      <c r="AW45" s="5"/>
      <c r="AZ45" s="5"/>
      <c r="BC45" s="5"/>
      <c r="BF45" s="5"/>
      <c r="BI45" s="5"/>
      <c r="BL45" s="5"/>
      <c r="BO45" s="5"/>
      <c r="BR45" s="5"/>
      <c r="BU45" s="5"/>
      <c r="BX45" s="5"/>
      <c r="CA45" s="5"/>
      <c r="CD45" s="5"/>
      <c r="CG45" s="5"/>
      <c r="CJ45" s="5"/>
      <c r="CM45" s="5"/>
      <c r="CP45" s="5"/>
      <c r="CS45" s="5"/>
      <c r="CT45" s="5"/>
      <c r="CU45" s="5"/>
      <c r="CV45" s="5"/>
      <c r="CW45" s="5"/>
      <c r="CX45" s="5"/>
      <c r="CY45" s="5"/>
      <c r="CZ45" s="5"/>
      <c r="DA45" s="5"/>
      <c r="DB45" s="5"/>
      <c r="DC45" s="5"/>
      <c r="DD45" s="5"/>
      <c r="DE45" s="5"/>
      <c r="DF45" s="5"/>
    </row>
    <row r="46">
      <c r="B46" s="36"/>
      <c r="C46" s="26"/>
      <c r="D46" s="19"/>
      <c r="G46" s="5"/>
      <c r="J46" s="5"/>
      <c r="M46" s="5"/>
      <c r="P46" s="5"/>
      <c r="S46" s="5"/>
      <c r="V46" s="5"/>
      <c r="Y46" s="5"/>
      <c r="AB46" s="5"/>
      <c r="AE46" s="5"/>
      <c r="AH46" s="5"/>
      <c r="AK46" s="5"/>
      <c r="AN46" s="5"/>
      <c r="AQ46" s="5"/>
      <c r="AT46" s="5"/>
      <c r="AW46" s="5"/>
      <c r="AZ46" s="5"/>
      <c r="BC46" s="5"/>
      <c r="BF46" s="5"/>
      <c r="BI46" s="5"/>
      <c r="BL46" s="5"/>
      <c r="BO46" s="5"/>
      <c r="BR46" s="5"/>
      <c r="BU46" s="5"/>
      <c r="BX46" s="5"/>
      <c r="CA46" s="5"/>
      <c r="CD46" s="5"/>
      <c r="CG46" s="5"/>
      <c r="CJ46" s="5"/>
      <c r="CM46" s="5"/>
      <c r="CP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N47" s="5"/>
      <c r="AQ47" s="5"/>
      <c r="AT47" s="5"/>
      <c r="AW47" s="5"/>
      <c r="AZ47" s="5"/>
      <c r="BC47" s="5"/>
      <c r="BF47" s="5"/>
      <c r="BI47" s="5"/>
      <c r="BL47" s="5"/>
      <c r="BO47" s="5"/>
      <c r="BR47" s="5"/>
      <c r="BU47" s="5"/>
      <c r="BX47" s="5"/>
      <c r="CA47" s="5"/>
      <c r="CD47" s="5"/>
      <c r="CG47" s="5"/>
      <c r="CJ47" s="5"/>
      <c r="CM47" s="5"/>
      <c r="CP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N48" s="5"/>
      <c r="AQ48" s="5"/>
      <c r="AT48" s="5"/>
      <c r="AW48" s="5"/>
      <c r="AZ48" s="5"/>
      <c r="BC48" s="5"/>
      <c r="BF48" s="5"/>
      <c r="BI48" s="5"/>
      <c r="BL48" s="5"/>
      <c r="BO48" s="5"/>
      <c r="BR48" s="5"/>
      <c r="BU48" s="5"/>
      <c r="BX48" s="5"/>
      <c r="CA48" s="5"/>
      <c r="CD48" s="5"/>
      <c r="CG48" s="5"/>
      <c r="CJ48" s="5"/>
      <c r="CM48" s="5"/>
      <c r="CP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N49" s="5"/>
      <c r="AQ49" s="5"/>
      <c r="AT49" s="5"/>
      <c r="AW49" s="5"/>
      <c r="AZ49" s="5"/>
      <c r="BC49" s="5"/>
      <c r="BF49" s="5"/>
      <c r="BI49" s="5"/>
      <c r="BL49" s="5"/>
      <c r="BO49" s="5"/>
      <c r="BR49" s="5"/>
      <c r="BU49" s="5"/>
      <c r="BX49" s="5"/>
      <c r="CA49" s="5"/>
      <c r="CD49" s="5"/>
      <c r="CG49" s="5"/>
      <c r="CJ49" s="5"/>
      <c r="CM49" s="5"/>
      <c r="CP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N50" s="5"/>
      <c r="AQ50" s="5"/>
      <c r="AT50" s="5"/>
      <c r="AW50" s="5"/>
      <c r="AZ50" s="5"/>
      <c r="BC50" s="5"/>
      <c r="BF50" s="5"/>
      <c r="BI50" s="5"/>
      <c r="BL50" s="5"/>
      <c r="BO50" s="5"/>
      <c r="BR50" s="5"/>
      <c r="BU50" s="5"/>
      <c r="BX50" s="5"/>
      <c r="CA50" s="5"/>
      <c r="CD50" s="5"/>
      <c r="CG50" s="5"/>
      <c r="CJ50" s="5"/>
      <c r="CM50" s="5"/>
      <c r="CP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N51" s="5"/>
      <c r="AQ51" s="5"/>
      <c r="AT51" s="5"/>
      <c r="AW51" s="5"/>
      <c r="AZ51" s="5"/>
      <c r="BC51" s="5"/>
      <c r="BF51" s="5"/>
      <c r="BI51" s="5"/>
      <c r="BL51" s="5"/>
      <c r="BO51" s="5"/>
      <c r="BR51" s="5"/>
      <c r="BU51" s="5"/>
      <c r="BX51" s="5"/>
      <c r="CA51" s="5"/>
      <c r="CD51" s="5"/>
      <c r="CG51" s="5"/>
      <c r="CJ51" s="5"/>
      <c r="CM51" s="5"/>
      <c r="CP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N52" s="5"/>
      <c r="AQ52" s="5"/>
      <c r="AT52" s="5"/>
      <c r="AW52" s="5"/>
      <c r="AZ52" s="5"/>
      <c r="BC52" s="5"/>
      <c r="BF52" s="5"/>
      <c r="BI52" s="5"/>
      <c r="BL52" s="5"/>
      <c r="BO52" s="5"/>
      <c r="BR52" s="5"/>
      <c r="BU52" s="5"/>
      <c r="BX52" s="5"/>
      <c r="CA52" s="5"/>
      <c r="CD52" s="5"/>
      <c r="CG52" s="5"/>
      <c r="CJ52" s="5"/>
      <c r="CM52" s="5"/>
      <c r="CP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N53" s="5"/>
      <c r="AQ53" s="5"/>
      <c r="AT53" s="5"/>
      <c r="AW53" s="5"/>
      <c r="AZ53" s="5"/>
      <c r="BC53" s="5"/>
      <c r="BF53" s="5"/>
      <c r="BI53" s="5"/>
      <c r="BL53" s="5"/>
      <c r="BO53" s="5"/>
      <c r="BR53" s="5"/>
      <c r="BU53" s="5"/>
      <c r="BX53" s="5"/>
      <c r="CA53" s="5"/>
      <c r="CD53" s="5"/>
      <c r="CG53" s="5"/>
      <c r="CJ53" s="5"/>
      <c r="CM53" s="5"/>
      <c r="CP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N54" s="5"/>
      <c r="AQ54" s="5"/>
      <c r="AT54" s="5"/>
      <c r="AW54" s="5"/>
      <c r="AZ54" s="5"/>
      <c r="BC54" s="5"/>
      <c r="BF54" s="5"/>
      <c r="BI54" s="5"/>
      <c r="BL54" s="5"/>
      <c r="BO54" s="5"/>
      <c r="BR54" s="5"/>
      <c r="BU54" s="5"/>
      <c r="BX54" s="5"/>
      <c r="CA54" s="5"/>
      <c r="CD54" s="5"/>
      <c r="CG54" s="5"/>
      <c r="CJ54" s="5"/>
      <c r="CM54" s="5"/>
      <c r="CP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N55" s="5"/>
      <c r="AQ55" s="5"/>
      <c r="AT55" s="5"/>
      <c r="AW55" s="5"/>
      <c r="AZ55" s="5"/>
      <c r="BC55" s="5"/>
      <c r="BF55" s="5"/>
      <c r="BI55" s="5"/>
      <c r="BL55" s="5"/>
      <c r="BO55" s="5"/>
      <c r="BR55" s="5"/>
      <c r="BU55" s="5"/>
      <c r="BX55" s="5"/>
      <c r="CA55" s="5"/>
      <c r="CD55" s="5"/>
      <c r="CG55" s="5"/>
      <c r="CJ55" s="5"/>
      <c r="CM55" s="5"/>
      <c r="CP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N56" s="5"/>
      <c r="AQ56" s="5"/>
      <c r="AT56" s="5"/>
      <c r="AW56" s="5"/>
      <c r="AZ56" s="5"/>
      <c r="BC56" s="5"/>
      <c r="BF56" s="5"/>
      <c r="BI56" s="5"/>
      <c r="BL56" s="5"/>
      <c r="BO56" s="5"/>
      <c r="BR56" s="5"/>
      <c r="BU56" s="5"/>
      <c r="BX56" s="5"/>
      <c r="CA56" s="5"/>
      <c r="CD56" s="5"/>
      <c r="CG56" s="5"/>
      <c r="CJ56" s="5"/>
      <c r="CM56" s="5"/>
      <c r="CP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N57" s="5"/>
      <c r="AQ57" s="5"/>
      <c r="AT57" s="5"/>
      <c r="AW57" s="5"/>
      <c r="AZ57" s="5"/>
      <c r="BC57" s="5"/>
      <c r="BF57" s="5"/>
      <c r="BI57" s="5"/>
      <c r="BL57" s="5"/>
      <c r="BO57" s="5"/>
      <c r="BR57" s="5"/>
      <c r="BU57" s="5"/>
      <c r="BX57" s="5"/>
      <c r="CA57" s="5"/>
      <c r="CD57" s="5"/>
      <c r="CG57" s="5"/>
      <c r="CJ57" s="5"/>
      <c r="CM57" s="5"/>
      <c r="CP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N58" s="5"/>
      <c r="AQ58" s="5"/>
      <c r="AT58" s="5"/>
      <c r="AW58" s="5"/>
      <c r="AZ58" s="5"/>
      <c r="BC58" s="5"/>
      <c r="BF58" s="5"/>
      <c r="BI58" s="5"/>
      <c r="BL58" s="5"/>
      <c r="BO58" s="5"/>
      <c r="BR58" s="5"/>
      <c r="BU58" s="5"/>
      <c r="BX58" s="5"/>
      <c r="CA58" s="5"/>
      <c r="CD58" s="5"/>
      <c r="CG58" s="5"/>
      <c r="CJ58" s="5"/>
      <c r="CM58" s="5"/>
      <c r="CP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N59" s="5"/>
      <c r="AQ59" s="5"/>
      <c r="AT59" s="5"/>
      <c r="AW59" s="5"/>
      <c r="AZ59" s="5"/>
      <c r="BC59" s="5"/>
      <c r="BF59" s="5"/>
      <c r="BI59" s="5"/>
      <c r="BL59" s="5"/>
      <c r="BO59" s="5"/>
      <c r="BR59" s="5"/>
      <c r="BU59" s="5"/>
      <c r="BX59" s="5"/>
      <c r="CA59" s="5"/>
      <c r="CD59" s="5"/>
      <c r="CG59" s="5"/>
      <c r="CJ59" s="5"/>
      <c r="CM59" s="5"/>
      <c r="CP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N60" s="5"/>
      <c r="AQ60" s="5"/>
      <c r="AT60" s="5"/>
      <c r="AW60" s="5"/>
      <c r="AZ60" s="5"/>
      <c r="BC60" s="5"/>
      <c r="BF60" s="5"/>
      <c r="BI60" s="5"/>
      <c r="BL60" s="5"/>
      <c r="BO60" s="5"/>
      <c r="BR60" s="5"/>
      <c r="BU60" s="5"/>
      <c r="BX60" s="5"/>
      <c r="CA60" s="5"/>
      <c r="CD60" s="5"/>
      <c r="CG60" s="5"/>
      <c r="CJ60" s="5"/>
      <c r="CM60" s="5"/>
      <c r="CP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N61" s="5"/>
      <c r="AQ61" s="5"/>
      <c r="AT61" s="5"/>
      <c r="AW61" s="5"/>
      <c r="AZ61" s="5"/>
      <c r="BC61" s="5"/>
      <c r="BF61" s="5"/>
      <c r="BI61" s="5"/>
      <c r="BL61" s="5"/>
      <c r="BO61" s="5"/>
      <c r="BR61" s="5"/>
      <c r="BU61" s="5"/>
      <c r="BX61" s="5"/>
      <c r="CA61" s="5"/>
      <c r="CD61" s="5"/>
      <c r="CG61" s="5"/>
      <c r="CJ61" s="5"/>
      <c r="CM61" s="5"/>
      <c r="CP61" s="5"/>
      <c r="CS61" s="5"/>
      <c r="CT61" s="5"/>
      <c r="CU61" s="5"/>
      <c r="CV61" s="5"/>
      <c r="CW61" s="5"/>
      <c r="CX61" s="5"/>
      <c r="CY61" s="5"/>
      <c r="CZ61" s="5"/>
      <c r="DA61" s="5"/>
      <c r="DB61" s="5"/>
      <c r="DC61" s="5"/>
      <c r="DD61" s="5"/>
      <c r="DE61" s="5"/>
      <c r="DF61" s="5"/>
    </row>
    <row r="62">
      <c r="A62" s="19"/>
      <c r="B62" s="26"/>
      <c r="C62" s="21"/>
      <c r="D62" s="19"/>
    </row>
    <row r="63">
      <c r="A63" s="19"/>
      <c r="B63" s="26"/>
      <c r="C63" s="21"/>
      <c r="D63" s="19"/>
    </row>
    <row r="64">
      <c r="A64" s="19"/>
      <c r="B64" s="26"/>
      <c r="C64" s="21"/>
      <c r="D64" s="19"/>
    </row>
    <row r="65">
      <c r="A65" s="19"/>
      <c r="B65" s="26"/>
      <c r="C65" s="21"/>
      <c r="D65" s="19"/>
    </row>
    <row r="66">
      <c r="A66" s="19"/>
      <c r="B66" s="26"/>
      <c r="C66" s="21"/>
      <c r="D66" s="19"/>
    </row>
    <row r="67">
      <c r="A67" s="19"/>
      <c r="B67" s="38"/>
      <c r="C67" s="19"/>
      <c r="D67" s="19"/>
    </row>
  </sheetData>
  <mergeCells count="36">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B18:D18"/>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6" width="15.38"/>
  </cols>
  <sheetData>
    <row r="1">
      <c r="A1" s="1" t="s">
        <v>75</v>
      </c>
      <c r="B1" s="1" t="s">
        <v>76</v>
      </c>
      <c r="C1" s="1" t="s">
        <v>77</v>
      </c>
      <c r="D1" s="1" t="s">
        <v>78</v>
      </c>
      <c r="E1" s="1" t="s">
        <v>79</v>
      </c>
      <c r="F1" s="1" t="s">
        <v>80</v>
      </c>
      <c r="G1" s="1"/>
      <c r="H1" s="1"/>
      <c r="I1" s="1"/>
    </row>
    <row r="2">
      <c r="A2" s="39">
        <v>0.0</v>
      </c>
      <c r="B2" s="39">
        <v>1.623502279E9</v>
      </c>
      <c r="C2" s="40">
        <f>IFERROR(__xludf.DUMMYFUNCTION("INDEX(SPLIT(B2, char(10)), 0, 1)/86400+date(1970,1,1)"),44359.53563657407)</f>
        <v>44359.53564</v>
      </c>
      <c r="D2" s="39" t="s">
        <v>81</v>
      </c>
      <c r="E2" s="39" t="s">
        <v>82</v>
      </c>
      <c r="F2" s="39" t="s">
        <v>83</v>
      </c>
    </row>
    <row r="3">
      <c r="A3" s="39">
        <v>1.0</v>
      </c>
      <c r="B3" s="39">
        <v>1.623502464E9</v>
      </c>
      <c r="C3" s="40">
        <f>IFERROR(__xludf.DUMMYFUNCTION("INDEX(SPLIT(B3, char(10)), 0, 1)/86400+date(1970,1,1)"),44359.537777777776)</f>
        <v>44359.53778</v>
      </c>
      <c r="D3" s="39" t="s">
        <v>81</v>
      </c>
      <c r="E3" s="39" t="s">
        <v>84</v>
      </c>
      <c r="F3" s="39" t="s">
        <v>85</v>
      </c>
    </row>
    <row r="4">
      <c r="A4" s="39">
        <v>2.0</v>
      </c>
      <c r="B4" s="39">
        <v>1.623502666E9</v>
      </c>
      <c r="C4" s="40">
        <f>IFERROR(__xludf.DUMMYFUNCTION("INDEX(SPLIT(B4, char(10)), 0, 1)/86400+date(1970,1,1)"),44359.54011574074)</f>
        <v>44359.54012</v>
      </c>
      <c r="D4" s="39" t="s">
        <v>81</v>
      </c>
      <c r="E4" s="39" t="s">
        <v>86</v>
      </c>
      <c r="F4" s="39" t="s">
        <v>87</v>
      </c>
    </row>
    <row r="5">
      <c r="A5" s="39">
        <v>3.0</v>
      </c>
      <c r="B5" s="39">
        <v>1.623502762E9</v>
      </c>
      <c r="C5" s="40">
        <f>IFERROR(__xludf.DUMMYFUNCTION("INDEX(SPLIT(B5, char(10)), 0, 1)/86400+date(1970,1,1)"),44359.541226851856)</f>
        <v>44359.54123</v>
      </c>
      <c r="D5" s="39" t="s">
        <v>81</v>
      </c>
      <c r="E5" s="39" t="s">
        <v>88</v>
      </c>
      <c r="F5" s="39" t="s">
        <v>89</v>
      </c>
    </row>
    <row r="6">
      <c r="A6" s="39">
        <v>3.0</v>
      </c>
      <c r="B6" s="39">
        <v>1.623502771E9</v>
      </c>
      <c r="C6" s="40">
        <f>IFERROR(__xludf.DUMMYFUNCTION("INDEX(SPLIT(B6, char(10)), 0, 1)/86400+date(1970,1,1)"),44359.54133101852)</f>
        <v>44359.54133</v>
      </c>
      <c r="D6" s="39" t="s">
        <v>90</v>
      </c>
      <c r="E6" s="39" t="s">
        <v>91</v>
      </c>
      <c r="F6" s="39" t="s">
        <v>92</v>
      </c>
    </row>
    <row r="7">
      <c r="A7" s="39">
        <v>4.0</v>
      </c>
      <c r="B7" s="39">
        <v>1.623502877E9</v>
      </c>
      <c r="C7" s="40">
        <f>IFERROR(__xludf.DUMMYFUNCTION("INDEX(SPLIT(B7, char(10)), 0, 1)/86400+date(1970,1,1)"),44359.54255787037)</f>
        <v>44359.54256</v>
      </c>
      <c r="D7" s="39" t="s">
        <v>93</v>
      </c>
      <c r="E7" s="39" t="s">
        <v>94</v>
      </c>
      <c r="F7" s="39" t="s">
        <v>95</v>
      </c>
    </row>
    <row r="8">
      <c r="A8" s="39">
        <v>4.0</v>
      </c>
      <c r="B8" s="39">
        <v>1.623502889E9</v>
      </c>
      <c r="C8" s="40">
        <f>IFERROR(__xludf.DUMMYFUNCTION("INDEX(SPLIT(B8, char(10)), 0, 1)/86400+date(1970,1,1)"),44359.54269675926)</f>
        <v>44359.5427</v>
      </c>
      <c r="D8" s="39" t="s">
        <v>96</v>
      </c>
      <c r="E8" s="39" t="s">
        <v>97</v>
      </c>
      <c r="F8" s="39" t="s">
        <v>98</v>
      </c>
    </row>
    <row r="9">
      <c r="A9" s="39">
        <v>4.0</v>
      </c>
      <c r="B9" s="39">
        <v>1.623502931E9</v>
      </c>
      <c r="C9" s="40">
        <f>IFERROR(__xludf.DUMMYFUNCTION("INDEX(SPLIT(B9, char(10)), 0, 1)/86400+date(1970,1,1)"),44359.54318287037)</f>
        <v>44359.54318</v>
      </c>
      <c r="D9" s="39" t="s">
        <v>81</v>
      </c>
      <c r="E9" s="39" t="s">
        <v>99</v>
      </c>
      <c r="F9" s="39" t="s">
        <v>100</v>
      </c>
    </row>
    <row r="10">
      <c r="A10" s="39">
        <v>5.0</v>
      </c>
      <c r="B10" s="39">
        <v>1.62350385E9</v>
      </c>
      <c r="C10" s="40">
        <f>IFERROR(__xludf.DUMMYFUNCTION("INDEX(SPLIT(B10, char(10)), 0, 1)/86400+date(1970,1,1)"),44359.553819444445)</f>
        <v>44359.55382</v>
      </c>
      <c r="D10" s="39" t="s">
        <v>93</v>
      </c>
      <c r="E10" s="39" t="s">
        <v>101</v>
      </c>
      <c r="F10" s="39" t="s">
        <v>102</v>
      </c>
    </row>
    <row r="11">
      <c r="A11" s="39">
        <v>5.0</v>
      </c>
      <c r="B11" s="39">
        <v>1.62350387E9</v>
      </c>
      <c r="C11" s="40">
        <f>IFERROR(__xludf.DUMMYFUNCTION("INDEX(SPLIT(B11, char(10)), 0, 1)/86400+date(1970,1,1)"),44359.55405092593)</f>
        <v>44359.55405</v>
      </c>
      <c r="D11" s="39" t="s">
        <v>103</v>
      </c>
      <c r="E11" s="39" t="s">
        <v>104</v>
      </c>
      <c r="F11" s="39" t="s">
        <v>105</v>
      </c>
    </row>
    <row r="12">
      <c r="A12" s="39">
        <v>6.0</v>
      </c>
      <c r="B12" s="39">
        <v>1.623504162E9</v>
      </c>
      <c r="C12" s="40">
        <f>IFERROR(__xludf.DUMMYFUNCTION("INDEX(SPLIT(B12, char(10)), 0, 1)/86400+date(1970,1,1)"),44359.55743055556)</f>
        <v>44359.55743</v>
      </c>
      <c r="D12" s="39" t="s">
        <v>93</v>
      </c>
      <c r="E12" s="39" t="s">
        <v>106</v>
      </c>
      <c r="F12" s="39" t="s">
        <v>107</v>
      </c>
    </row>
    <row r="13">
      <c r="A13" s="39">
        <v>6.0</v>
      </c>
      <c r="B13" s="39">
        <v>1.623504174E9</v>
      </c>
      <c r="C13" s="40">
        <f>IFERROR(__xludf.DUMMYFUNCTION("INDEX(SPLIT(B13, char(10)), 0, 1)/86400+date(1970,1,1)"),44359.55756944444)</f>
        <v>44359.55757</v>
      </c>
      <c r="D13" s="39" t="s">
        <v>81</v>
      </c>
      <c r="E13" s="39" t="s">
        <v>108</v>
      </c>
      <c r="F13" s="39" t="s">
        <v>109</v>
      </c>
    </row>
    <row r="14">
      <c r="A14" s="39">
        <v>7.0</v>
      </c>
      <c r="B14" s="39">
        <v>1.623504254E9</v>
      </c>
      <c r="C14" s="40">
        <f>IFERROR(__xludf.DUMMYFUNCTION("INDEX(SPLIT(B14, char(10)), 0, 1)/86400+date(1970,1,1)"),44359.558495370366)</f>
        <v>44359.5585</v>
      </c>
      <c r="D14" s="39" t="s">
        <v>103</v>
      </c>
      <c r="E14" s="39" t="s">
        <v>110</v>
      </c>
      <c r="F14" s="39" t="s">
        <v>111</v>
      </c>
    </row>
    <row r="15">
      <c r="A15" s="39">
        <v>7.0</v>
      </c>
      <c r="B15" s="39">
        <v>1.623504295E9</v>
      </c>
      <c r="C15" s="40">
        <f>IFERROR(__xludf.DUMMYFUNCTION("INDEX(SPLIT(B15, char(10)), 0, 1)/86400+date(1970,1,1)"),44359.558969907404)</f>
        <v>44359.55897</v>
      </c>
      <c r="D15" s="39" t="s">
        <v>90</v>
      </c>
      <c r="E15" s="39" t="s">
        <v>112</v>
      </c>
      <c r="F15" s="39" t="s">
        <v>113</v>
      </c>
    </row>
    <row r="16">
      <c r="A16" s="39">
        <v>8.0</v>
      </c>
      <c r="B16" s="39">
        <v>1.623504437E9</v>
      </c>
      <c r="C16" s="40">
        <f>IFERROR(__xludf.DUMMYFUNCTION("INDEX(SPLIT(B16, char(10)), 0, 1)/86400+date(1970,1,1)"),44359.56061342593)</f>
        <v>44359.56061</v>
      </c>
      <c r="D16" s="39" t="s">
        <v>93</v>
      </c>
      <c r="E16" s="39" t="s">
        <v>114</v>
      </c>
      <c r="F16" s="39" t="s">
        <v>115</v>
      </c>
    </row>
    <row r="17">
      <c r="A17" s="39">
        <v>9.0</v>
      </c>
      <c r="B17" s="39">
        <v>1.62350457E9</v>
      </c>
      <c r="C17" s="40">
        <f>IFERROR(__xludf.DUMMYFUNCTION("INDEX(SPLIT(B17, char(10)), 0, 1)/86400+date(1970,1,1)"),44359.56215277778)</f>
        <v>44359.56215</v>
      </c>
      <c r="D17" s="39" t="s">
        <v>90</v>
      </c>
      <c r="E17" s="39" t="s">
        <v>116</v>
      </c>
      <c r="F17" s="39" t="s">
        <v>117</v>
      </c>
    </row>
    <row r="18">
      <c r="A18" s="39">
        <v>9.0</v>
      </c>
      <c r="B18" s="39">
        <v>1.623504596E9</v>
      </c>
      <c r="C18" s="40">
        <f>IFERROR(__xludf.DUMMYFUNCTION("INDEX(SPLIT(B18, char(10)), 0, 1)/86400+date(1970,1,1)"),44359.56245370371)</f>
        <v>44359.56245</v>
      </c>
      <c r="D18" s="39" t="s">
        <v>93</v>
      </c>
      <c r="E18" s="39" t="s">
        <v>118</v>
      </c>
      <c r="F18" s="39" t="s">
        <v>119</v>
      </c>
    </row>
    <row r="19">
      <c r="A19" s="39">
        <v>10.0</v>
      </c>
      <c r="B19" s="39">
        <v>1.623504705E9</v>
      </c>
      <c r="C19" s="40">
        <f>IFERROR(__xludf.DUMMYFUNCTION("INDEX(SPLIT(B19, char(10)), 0, 1)/86400+date(1970,1,1)"),44359.56371527778)</f>
        <v>44359.56372</v>
      </c>
      <c r="D19" s="39" t="s">
        <v>103</v>
      </c>
      <c r="E19" s="39" t="s">
        <v>120</v>
      </c>
      <c r="F19" s="39" t="s">
        <v>121</v>
      </c>
    </row>
    <row r="20">
      <c r="A20" s="39">
        <v>10.0</v>
      </c>
      <c r="B20" s="39">
        <v>1.623504738E9</v>
      </c>
      <c r="C20" s="40">
        <f>IFERROR(__xludf.DUMMYFUNCTION("INDEX(SPLIT(B20, char(10)), 0, 1)/86400+date(1970,1,1)"),44359.56409722222)</f>
        <v>44359.5641</v>
      </c>
      <c r="D20" s="39" t="s">
        <v>90</v>
      </c>
      <c r="E20" s="39" t="s">
        <v>122</v>
      </c>
      <c r="F20" s="39" t="s">
        <v>123</v>
      </c>
    </row>
    <row r="21">
      <c r="A21" s="39">
        <v>10.0</v>
      </c>
      <c r="B21" s="39">
        <v>1.623504752E9</v>
      </c>
      <c r="C21" s="40">
        <f>IFERROR(__xludf.DUMMYFUNCTION("INDEX(SPLIT(B21, char(10)), 0, 1)/86400+date(1970,1,1)"),44359.56425925926)</f>
        <v>44359.56426</v>
      </c>
      <c r="D21" s="39" t="s">
        <v>124</v>
      </c>
      <c r="E21" s="39" t="s">
        <v>125</v>
      </c>
      <c r="F21" s="39" t="s">
        <v>126</v>
      </c>
    </row>
    <row r="22">
      <c r="A22" s="39">
        <v>10.0</v>
      </c>
      <c r="B22" s="39">
        <v>1.623504757E9</v>
      </c>
      <c r="C22" s="40">
        <f>IFERROR(__xludf.DUMMYFUNCTION("INDEX(SPLIT(B22, char(10)), 0, 1)/86400+date(1970,1,1)"),44359.564317129625)</f>
        <v>44359.56432</v>
      </c>
      <c r="D22" s="39" t="s">
        <v>81</v>
      </c>
      <c r="E22" s="39" t="s">
        <v>82</v>
      </c>
      <c r="F22" s="39" t="s">
        <v>127</v>
      </c>
    </row>
    <row r="23">
      <c r="A23" s="39">
        <v>10.0</v>
      </c>
      <c r="B23" s="39">
        <v>1.623504773E9</v>
      </c>
      <c r="C23" s="40">
        <f>IFERROR(__xludf.DUMMYFUNCTION("INDEX(SPLIT(B23, char(10)), 0, 1)/86400+date(1970,1,1)"),44359.56450231481)</f>
        <v>44359.5645</v>
      </c>
      <c r="D23" s="39" t="s">
        <v>128</v>
      </c>
      <c r="E23" s="39" t="s">
        <v>129</v>
      </c>
      <c r="F23" s="39" t="s">
        <v>130</v>
      </c>
    </row>
    <row r="24">
      <c r="A24" s="39">
        <v>10.0</v>
      </c>
      <c r="B24" s="39">
        <v>1.623504774E9</v>
      </c>
      <c r="C24" s="40">
        <f>IFERROR(__xludf.DUMMYFUNCTION("INDEX(SPLIT(B24, char(10)), 0, 1)/86400+date(1970,1,1)"),44359.564513888894)</f>
        <v>44359.56451</v>
      </c>
      <c r="D24" s="39" t="s">
        <v>131</v>
      </c>
      <c r="E24" s="39" t="s">
        <v>132</v>
      </c>
      <c r="F24" s="39" t="s">
        <v>133</v>
      </c>
    </row>
    <row r="25">
      <c r="A25" s="39">
        <v>10.0</v>
      </c>
      <c r="B25" s="39">
        <v>1.62350478E9</v>
      </c>
      <c r="C25" s="40">
        <f>IFERROR(__xludf.DUMMYFUNCTION("INDEX(SPLIT(B25, char(10)), 0, 1)/86400+date(1970,1,1)"),44359.56458333333)</f>
        <v>44359.56458</v>
      </c>
      <c r="D25" s="39" t="s">
        <v>93</v>
      </c>
      <c r="E25" s="39" t="s">
        <v>134</v>
      </c>
      <c r="F25" s="39" t="s">
        <v>135</v>
      </c>
    </row>
    <row r="26">
      <c r="A26" s="39">
        <v>10.0</v>
      </c>
      <c r="B26" s="39">
        <v>1.62350478E9</v>
      </c>
      <c r="C26" s="40">
        <f>IFERROR(__xludf.DUMMYFUNCTION("INDEX(SPLIT(B26, char(10)), 0, 1)/86400+date(1970,1,1)"),44359.56458333333)</f>
        <v>44359.56458</v>
      </c>
      <c r="D26" s="39" t="s">
        <v>136</v>
      </c>
      <c r="E26" s="39" t="s">
        <v>137</v>
      </c>
      <c r="F26" s="39" t="s">
        <v>138</v>
      </c>
    </row>
    <row r="27">
      <c r="A27" s="39">
        <v>11.0</v>
      </c>
      <c r="B27" s="39">
        <v>1.623504831E9</v>
      </c>
      <c r="C27" s="40">
        <f>IFERROR(__xludf.DUMMYFUNCTION("INDEX(SPLIT(B27, char(10)), 0, 1)/86400+date(1970,1,1)"),44359.56517361111)</f>
        <v>44359.56517</v>
      </c>
      <c r="D27" s="39" t="s">
        <v>103</v>
      </c>
      <c r="E27" s="39" t="s">
        <v>139</v>
      </c>
      <c r="F27" s="39" t="s">
        <v>140</v>
      </c>
    </row>
    <row r="28">
      <c r="A28" s="39">
        <v>12.0</v>
      </c>
      <c r="B28" s="39">
        <v>1.623505394E9</v>
      </c>
      <c r="C28" s="40">
        <f>IFERROR(__xludf.DUMMYFUNCTION("INDEX(SPLIT(B28, char(10)), 0, 1)/86400+date(1970,1,1)"),44359.57168981481)</f>
        <v>44359.57169</v>
      </c>
      <c r="D28" s="39" t="s">
        <v>81</v>
      </c>
      <c r="E28" s="39" t="s">
        <v>141</v>
      </c>
      <c r="F28" s="39" t="s">
        <v>142</v>
      </c>
    </row>
    <row r="29">
      <c r="A29" s="39">
        <v>13.0</v>
      </c>
      <c r="B29" s="39">
        <v>1.6235055E9</v>
      </c>
      <c r="C29" s="40">
        <f>IFERROR(__xludf.DUMMYFUNCTION("INDEX(SPLIT(B29, char(10)), 0, 1)/86400+date(1970,1,1)"),44359.57291666667)</f>
        <v>44359.57292</v>
      </c>
      <c r="D29" s="39" t="s">
        <v>96</v>
      </c>
      <c r="E29" s="39" t="s">
        <v>143</v>
      </c>
      <c r="F29" s="39" t="s">
        <v>144</v>
      </c>
    </row>
    <row r="30">
      <c r="A30" s="39">
        <v>14.0</v>
      </c>
      <c r="B30" s="39">
        <v>1.623505604E9</v>
      </c>
      <c r="C30" s="40">
        <f>IFERROR(__xludf.DUMMYFUNCTION("INDEX(SPLIT(B30, char(10)), 0, 1)/86400+date(1970,1,1)"),44359.574120370366)</f>
        <v>44359.57412</v>
      </c>
      <c r="D30" s="39" t="s">
        <v>96</v>
      </c>
      <c r="E30" s="39" t="s">
        <v>145</v>
      </c>
      <c r="F30" s="39" t="s">
        <v>146</v>
      </c>
    </row>
    <row r="31">
      <c r="A31" s="39">
        <v>14.0</v>
      </c>
      <c r="B31" s="39">
        <v>1.62350568E9</v>
      </c>
      <c r="C31" s="40">
        <f>IFERROR(__xludf.DUMMYFUNCTION("INDEX(SPLIT(B31, char(10)), 0, 1)/86400+date(1970,1,1)"),44359.575)</f>
        <v>44359.575</v>
      </c>
      <c r="D31" s="39" t="s">
        <v>93</v>
      </c>
      <c r="E31" s="39" t="s">
        <v>147</v>
      </c>
      <c r="F31" s="39" t="s">
        <v>148</v>
      </c>
    </row>
    <row r="32">
      <c r="A32" s="39">
        <v>14.0</v>
      </c>
      <c r="B32" s="39">
        <v>1.623505689E9</v>
      </c>
      <c r="C32" s="40">
        <f>IFERROR(__xludf.DUMMYFUNCTION("INDEX(SPLIT(B32, char(10)), 0, 1)/86400+date(1970,1,1)"),44359.575104166666)</f>
        <v>44359.5751</v>
      </c>
      <c r="D32" s="39" t="s">
        <v>124</v>
      </c>
      <c r="E32" s="39" t="s">
        <v>149</v>
      </c>
      <c r="F32" s="39" t="s">
        <v>150</v>
      </c>
    </row>
    <row r="33">
      <c r="A33" s="39">
        <v>15.0</v>
      </c>
      <c r="B33" s="39">
        <v>1.623505705E9</v>
      </c>
      <c r="C33" s="40">
        <f>IFERROR(__xludf.DUMMYFUNCTION("INDEX(SPLIT(B33, char(10)), 0, 1)/86400+date(1970,1,1)"),44359.57528935185)</f>
        <v>44359.57529</v>
      </c>
      <c r="D33" s="39" t="s">
        <v>151</v>
      </c>
      <c r="E33" s="39" t="s">
        <v>152</v>
      </c>
      <c r="F33" s="39" t="s">
        <v>153</v>
      </c>
    </row>
    <row r="34">
      <c r="A34" s="39">
        <v>15.0</v>
      </c>
      <c r="B34" s="39">
        <v>1.623505717E9</v>
      </c>
      <c r="C34" s="40">
        <f>IFERROR(__xludf.DUMMYFUNCTION("INDEX(SPLIT(B34, char(10)), 0, 1)/86400+date(1970,1,1)"),44359.57542824074)</f>
        <v>44359.57543</v>
      </c>
      <c r="D34" s="39" t="s">
        <v>103</v>
      </c>
      <c r="E34" s="39" t="s">
        <v>154</v>
      </c>
      <c r="F34" s="39" t="s">
        <v>155</v>
      </c>
    </row>
    <row r="35">
      <c r="A35" s="39">
        <v>15.0</v>
      </c>
      <c r="B35" s="39">
        <v>1.623505717E9</v>
      </c>
      <c r="C35" s="40">
        <f>IFERROR(__xludf.DUMMYFUNCTION("INDEX(SPLIT(B35, char(10)), 0, 1)/86400+date(1970,1,1)"),44359.57542824074)</f>
        <v>44359.57543</v>
      </c>
      <c r="D35" s="39" t="s">
        <v>90</v>
      </c>
      <c r="E35" s="39" t="s">
        <v>156</v>
      </c>
      <c r="F35" s="39" t="s">
        <v>157</v>
      </c>
    </row>
    <row r="36">
      <c r="A36" s="39">
        <v>16.0</v>
      </c>
      <c r="B36" s="39">
        <v>1.623505801E9</v>
      </c>
      <c r="C36" s="40">
        <f>IFERROR(__xludf.DUMMYFUNCTION("INDEX(SPLIT(B36, char(10)), 0, 1)/86400+date(1970,1,1)"),44359.57640046296)</f>
        <v>44359.5764</v>
      </c>
      <c r="D36" s="39" t="s">
        <v>81</v>
      </c>
      <c r="E36" s="39" t="s">
        <v>158</v>
      </c>
      <c r="F36" s="39" t="s">
        <v>159</v>
      </c>
    </row>
    <row r="37">
      <c r="A37" s="39">
        <v>16.0</v>
      </c>
      <c r="B37" s="39">
        <v>1.623505847E9</v>
      </c>
      <c r="C37" s="40">
        <f>IFERROR(__xludf.DUMMYFUNCTION("INDEX(SPLIT(B37, char(10)), 0, 1)/86400+date(1970,1,1)"),44359.576932870375)</f>
        <v>44359.57693</v>
      </c>
      <c r="D37" s="39" t="s">
        <v>93</v>
      </c>
      <c r="E37" s="39" t="s">
        <v>160</v>
      </c>
      <c r="F37" s="39" t="s">
        <v>161</v>
      </c>
    </row>
    <row r="38">
      <c r="A38" s="39">
        <v>16.0</v>
      </c>
      <c r="B38" s="39">
        <v>1.623505848E9</v>
      </c>
      <c r="C38" s="40">
        <f>IFERROR(__xludf.DUMMYFUNCTION("INDEX(SPLIT(B38, char(10)), 0, 1)/86400+date(1970,1,1)"),44359.576944444445)</f>
        <v>44359.57694</v>
      </c>
      <c r="D38" s="39" t="s">
        <v>103</v>
      </c>
      <c r="E38" s="39" t="s">
        <v>162</v>
      </c>
      <c r="F38" s="39" t="s">
        <v>163</v>
      </c>
    </row>
    <row r="39">
      <c r="A39" s="39">
        <v>17.0</v>
      </c>
      <c r="B39" s="39">
        <v>1.62350603E9</v>
      </c>
      <c r="C39" s="40">
        <f>IFERROR(__xludf.DUMMYFUNCTION("INDEX(SPLIT(B39, char(10)), 0, 1)/86400+date(1970,1,1)"),44359.579050925924)</f>
        <v>44359.57905</v>
      </c>
      <c r="D39" s="39" t="s">
        <v>103</v>
      </c>
      <c r="E39" s="39" t="s">
        <v>164</v>
      </c>
      <c r="F39" s="39" t="s">
        <v>165</v>
      </c>
    </row>
    <row r="40">
      <c r="A40" s="39">
        <v>17.0</v>
      </c>
      <c r="B40" s="39">
        <v>1.623506053E9</v>
      </c>
      <c r="C40" s="40">
        <f>IFERROR(__xludf.DUMMYFUNCTION("INDEX(SPLIT(B40, char(10)), 0, 1)/86400+date(1970,1,1)"),44359.579317129625)</f>
        <v>44359.57932</v>
      </c>
      <c r="D40" s="39" t="s">
        <v>96</v>
      </c>
      <c r="E40" s="39" t="s">
        <v>166</v>
      </c>
      <c r="F40" s="39" t="s">
        <v>167</v>
      </c>
    </row>
    <row r="41">
      <c r="A41" s="39">
        <v>17.0</v>
      </c>
      <c r="B41" s="39">
        <v>1.623506063E9</v>
      </c>
      <c r="C41" s="40">
        <f>IFERROR(__xludf.DUMMYFUNCTION("INDEX(SPLIT(B41, char(10)), 0, 1)/86400+date(1970,1,1)"),44359.57943287037)</f>
        <v>44359.57943</v>
      </c>
      <c r="D41" s="39" t="s">
        <v>124</v>
      </c>
      <c r="E41" s="39" t="s">
        <v>168</v>
      </c>
      <c r="F41" s="39" t="s">
        <v>169</v>
      </c>
    </row>
    <row r="42">
      <c r="A42" s="39">
        <v>18.0</v>
      </c>
      <c r="B42" s="39">
        <v>1.623506862E9</v>
      </c>
      <c r="C42" s="40">
        <f>IFERROR(__xludf.DUMMYFUNCTION("INDEX(SPLIT(B42, char(10)), 0, 1)/86400+date(1970,1,1)"),44359.58868055556)</f>
        <v>44359.58868</v>
      </c>
      <c r="D42" s="39" t="s">
        <v>128</v>
      </c>
      <c r="E42" s="39" t="s">
        <v>170</v>
      </c>
      <c r="F42" s="39" t="s">
        <v>171</v>
      </c>
    </row>
    <row r="43">
      <c r="A43" s="39">
        <v>18.0</v>
      </c>
      <c r="B43" s="39">
        <v>1.623506897E9</v>
      </c>
      <c r="C43" s="40">
        <f>IFERROR(__xludf.DUMMYFUNCTION("INDEX(SPLIT(B43, char(10)), 0, 1)/86400+date(1970,1,1)"),44359.58908564815)</f>
        <v>44359.58909</v>
      </c>
      <c r="D43" s="39" t="s">
        <v>124</v>
      </c>
      <c r="E43" s="39" t="s">
        <v>172</v>
      </c>
      <c r="F43" s="39" t="s">
        <v>173</v>
      </c>
    </row>
    <row r="44">
      <c r="A44" s="39">
        <v>18.0</v>
      </c>
      <c r="B44" s="39">
        <v>1.62350692E9</v>
      </c>
      <c r="C44" s="40">
        <f>IFERROR(__xludf.DUMMYFUNCTION("INDEX(SPLIT(B44, char(10)), 0, 1)/86400+date(1970,1,1)"),44359.58935185186)</f>
        <v>44359.58935</v>
      </c>
      <c r="D44" s="39" t="s">
        <v>174</v>
      </c>
      <c r="E44" s="39" t="s">
        <v>175</v>
      </c>
      <c r="F44" s="39" t="s">
        <v>176</v>
      </c>
    </row>
    <row r="45">
      <c r="A45" s="39">
        <v>18.0</v>
      </c>
      <c r="B45" s="39">
        <v>1.623506934E9</v>
      </c>
      <c r="C45" s="40">
        <f>IFERROR(__xludf.DUMMYFUNCTION("INDEX(SPLIT(B45, char(10)), 0, 1)/86400+date(1970,1,1)"),44359.58951388889)</f>
        <v>44359.58951</v>
      </c>
      <c r="D45" s="39" t="s">
        <v>131</v>
      </c>
      <c r="E45" s="39" t="s">
        <v>177</v>
      </c>
      <c r="F45" s="39" t="s">
        <v>178</v>
      </c>
    </row>
    <row r="46">
      <c r="A46" s="39">
        <v>18.0</v>
      </c>
      <c r="B46" s="39">
        <v>1.623506947E9</v>
      </c>
      <c r="C46" s="40">
        <f>IFERROR(__xludf.DUMMYFUNCTION("INDEX(SPLIT(B46, char(10)), 0, 1)/86400+date(1970,1,1)"),44359.58966435185)</f>
        <v>44359.58966</v>
      </c>
      <c r="D46" s="39" t="s">
        <v>93</v>
      </c>
      <c r="E46" s="39" t="s">
        <v>179</v>
      </c>
      <c r="F46" s="39" t="s">
        <v>180</v>
      </c>
    </row>
    <row r="47">
      <c r="A47" s="39">
        <v>19.0</v>
      </c>
      <c r="B47" s="39">
        <v>1.623506957E9</v>
      </c>
      <c r="C47" s="40">
        <f>IFERROR(__xludf.DUMMYFUNCTION("INDEX(SPLIT(B47, char(10)), 0, 1)/86400+date(1970,1,1)"),44359.58978009259)</f>
        <v>44359.58978</v>
      </c>
      <c r="D47" s="39" t="s">
        <v>151</v>
      </c>
      <c r="E47" s="39" t="s">
        <v>181</v>
      </c>
      <c r="F47" s="39" t="s">
        <v>182</v>
      </c>
    </row>
    <row r="48">
      <c r="A48" s="39">
        <v>19.0</v>
      </c>
      <c r="B48" s="39">
        <v>1.62350696E9</v>
      </c>
      <c r="C48" s="40">
        <f>IFERROR(__xludf.DUMMYFUNCTION("INDEX(SPLIT(B48, char(10)), 0, 1)/86400+date(1970,1,1)"),44359.58981481481)</f>
        <v>44359.58981</v>
      </c>
      <c r="D48" s="39" t="s">
        <v>96</v>
      </c>
      <c r="E48" s="39" t="s">
        <v>183</v>
      </c>
      <c r="F48" s="39" t="s">
        <v>184</v>
      </c>
    </row>
    <row r="49">
      <c r="A49" s="39">
        <v>19.0</v>
      </c>
      <c r="B49" s="39">
        <v>1.62350696E9</v>
      </c>
      <c r="C49" s="40">
        <f>IFERROR(__xludf.DUMMYFUNCTION("INDEX(SPLIT(B49, char(10)), 0, 1)/86400+date(1970,1,1)"),44359.58981481481)</f>
        <v>44359.58981</v>
      </c>
      <c r="D49" s="39" t="s">
        <v>90</v>
      </c>
      <c r="E49" s="39" t="s">
        <v>185</v>
      </c>
      <c r="F49" s="39" t="s">
        <v>186</v>
      </c>
    </row>
    <row r="50">
      <c r="A50" s="39">
        <v>19.0</v>
      </c>
      <c r="B50" s="39">
        <v>1.623506962E9</v>
      </c>
      <c r="C50" s="40">
        <f>IFERROR(__xludf.DUMMYFUNCTION("INDEX(SPLIT(B50, char(10)), 0, 1)/86400+date(1970,1,1)"),44359.589837962965)</f>
        <v>44359.58984</v>
      </c>
      <c r="D50" s="39" t="s">
        <v>81</v>
      </c>
      <c r="E50" s="39" t="s">
        <v>187</v>
      </c>
      <c r="F50" s="39" t="s">
        <v>188</v>
      </c>
    </row>
    <row r="51">
      <c r="A51" s="39">
        <v>19.0</v>
      </c>
      <c r="B51" s="39">
        <v>1.623506967E9</v>
      </c>
      <c r="C51" s="40">
        <f>IFERROR(__xludf.DUMMYFUNCTION("INDEX(SPLIT(B51, char(10)), 0, 1)/86400+date(1970,1,1)"),44359.589895833335)</f>
        <v>44359.5899</v>
      </c>
      <c r="D51" s="39" t="s">
        <v>136</v>
      </c>
      <c r="E51" s="39" t="s">
        <v>189</v>
      </c>
      <c r="F51" s="39" t="s">
        <v>190</v>
      </c>
    </row>
    <row r="52">
      <c r="A52" s="39">
        <v>19.0</v>
      </c>
      <c r="B52" s="39">
        <v>1.623507011E9</v>
      </c>
      <c r="C52" s="40">
        <f>IFERROR(__xludf.DUMMYFUNCTION("INDEX(SPLIT(B52, char(10)), 0, 1)/86400+date(1970,1,1)"),44359.59040509259)</f>
        <v>44359.59041</v>
      </c>
      <c r="D52" s="39" t="s">
        <v>174</v>
      </c>
      <c r="E52" s="39" t="s">
        <v>191</v>
      </c>
      <c r="F52" s="39" t="s">
        <v>192</v>
      </c>
    </row>
    <row r="53">
      <c r="A53" s="39">
        <v>19.0</v>
      </c>
      <c r="B53" s="39">
        <v>1.623507014E9</v>
      </c>
      <c r="C53" s="40">
        <f>IFERROR(__xludf.DUMMYFUNCTION("INDEX(SPLIT(B53, char(10)), 0, 1)/86400+date(1970,1,1)"),44359.59043981481)</f>
        <v>44359.59044</v>
      </c>
      <c r="D53" s="39" t="s">
        <v>103</v>
      </c>
      <c r="E53" s="39" t="s">
        <v>185</v>
      </c>
      <c r="F53" s="39" t="s">
        <v>193</v>
      </c>
    </row>
    <row r="54">
      <c r="A54" s="39">
        <v>19.0</v>
      </c>
      <c r="B54" s="39">
        <v>1.623507043E9</v>
      </c>
      <c r="C54" s="40">
        <f>IFERROR(__xludf.DUMMYFUNCTION("INDEX(SPLIT(B54, char(10)), 0, 1)/86400+date(1970,1,1)"),44359.59077546296)</f>
        <v>44359.59078</v>
      </c>
      <c r="D54" s="39" t="s">
        <v>131</v>
      </c>
      <c r="E54" s="39" t="s">
        <v>194</v>
      </c>
      <c r="F54" s="39" t="s">
        <v>195</v>
      </c>
    </row>
    <row r="55">
      <c r="A55" s="39">
        <v>20.0</v>
      </c>
      <c r="B55" s="39">
        <v>1.623507222E9</v>
      </c>
      <c r="C55" s="40">
        <f>IFERROR(__xludf.DUMMYFUNCTION("INDEX(SPLIT(B55, char(10)), 0, 1)/86400+date(1970,1,1)"),44359.59284722222)</f>
        <v>44359.59285</v>
      </c>
      <c r="D55" s="39" t="s">
        <v>136</v>
      </c>
      <c r="E55" s="39" t="s">
        <v>196</v>
      </c>
      <c r="F55" s="39" t="s">
        <v>197</v>
      </c>
    </row>
    <row r="56">
      <c r="A56" s="39">
        <v>20.0</v>
      </c>
      <c r="B56" s="39">
        <v>1.623507311E9</v>
      </c>
      <c r="C56" s="40">
        <f>IFERROR(__xludf.DUMMYFUNCTION("INDEX(SPLIT(B56, char(10)), 0, 1)/86400+date(1970,1,1)"),44359.593877314815)</f>
        <v>44359.59388</v>
      </c>
      <c r="D56" s="39" t="s">
        <v>103</v>
      </c>
      <c r="E56" s="39" t="s">
        <v>198</v>
      </c>
      <c r="F56" s="39" t="s">
        <v>199</v>
      </c>
    </row>
    <row r="57">
      <c r="A57" s="39">
        <v>21.0</v>
      </c>
      <c r="B57" s="39">
        <v>1.623507348E9</v>
      </c>
      <c r="C57" s="40">
        <f>IFERROR(__xludf.DUMMYFUNCTION("INDEX(SPLIT(B57, char(10)), 0, 1)/86400+date(1970,1,1)"),44359.594305555554)</f>
        <v>44359.59431</v>
      </c>
      <c r="D57" s="39" t="s">
        <v>81</v>
      </c>
      <c r="E57" s="39" t="s">
        <v>200</v>
      </c>
      <c r="F57" s="39" t="s">
        <v>201</v>
      </c>
    </row>
    <row r="58">
      <c r="A58" s="39">
        <v>22.0</v>
      </c>
      <c r="B58" s="39">
        <v>1.623507454E9</v>
      </c>
      <c r="C58" s="40">
        <f>IFERROR(__xludf.DUMMYFUNCTION("INDEX(SPLIT(B58, char(10)), 0, 1)/86400+date(1970,1,1)"),44359.5955324074)</f>
        <v>44359.59553</v>
      </c>
      <c r="D58" s="39" t="s">
        <v>81</v>
      </c>
      <c r="E58" s="39" t="s">
        <v>202</v>
      </c>
      <c r="F58" s="39" t="s">
        <v>203</v>
      </c>
    </row>
    <row r="59">
      <c r="A59" s="39">
        <v>22.0</v>
      </c>
      <c r="B59" s="39">
        <v>1.623507462E9</v>
      </c>
      <c r="C59" s="40">
        <f>IFERROR(__xludf.DUMMYFUNCTION("INDEX(SPLIT(B59, char(10)), 0, 1)/86400+date(1970,1,1)"),44359.595625)</f>
        <v>44359.59563</v>
      </c>
      <c r="D59" s="39" t="s">
        <v>90</v>
      </c>
      <c r="E59" s="39" t="s">
        <v>112</v>
      </c>
      <c r="F59" s="39" t="s">
        <v>204</v>
      </c>
    </row>
    <row r="60">
      <c r="A60" s="39">
        <v>22.0</v>
      </c>
      <c r="B60" s="39">
        <v>1.623507537E9</v>
      </c>
      <c r="C60" s="40">
        <f>IFERROR(__xludf.DUMMYFUNCTION("INDEX(SPLIT(B60, char(10)), 0, 1)/86400+date(1970,1,1)"),44359.59649305556)</f>
        <v>44359.59649</v>
      </c>
      <c r="D60" s="39" t="s">
        <v>103</v>
      </c>
      <c r="E60" s="39" t="s">
        <v>205</v>
      </c>
      <c r="F60" s="39" t="s">
        <v>206</v>
      </c>
    </row>
    <row r="61">
      <c r="A61" s="39">
        <v>23.0</v>
      </c>
      <c r="B61" s="39">
        <v>1.623507566E9</v>
      </c>
      <c r="C61" s="40">
        <f>IFERROR(__xludf.DUMMYFUNCTION("INDEX(SPLIT(B61, char(10)), 0, 1)/86400+date(1970,1,1)"),44359.5968287037)</f>
        <v>44359.59683</v>
      </c>
      <c r="D61" s="39" t="s">
        <v>81</v>
      </c>
      <c r="E61" s="39" t="s">
        <v>207</v>
      </c>
      <c r="F61" s="39" t="s">
        <v>208</v>
      </c>
    </row>
    <row r="62">
      <c r="A62" s="39">
        <v>24.0</v>
      </c>
      <c r="B62" s="39">
        <v>1.623507734E9</v>
      </c>
      <c r="C62" s="40">
        <f>IFERROR(__xludf.DUMMYFUNCTION("INDEX(SPLIT(B62, char(10)), 0, 1)/86400+date(1970,1,1)"),44359.598773148144)</f>
        <v>44359.59877</v>
      </c>
      <c r="D62" s="39" t="s">
        <v>90</v>
      </c>
      <c r="E62" s="39" t="s">
        <v>209</v>
      </c>
      <c r="F62" s="39" t="s">
        <v>210</v>
      </c>
    </row>
    <row r="63">
      <c r="A63" s="39">
        <v>24.0</v>
      </c>
      <c r="B63" s="39">
        <v>1.623507803E9</v>
      </c>
      <c r="C63" s="40">
        <f>IFERROR(__xludf.DUMMYFUNCTION("INDEX(SPLIT(B63, char(10)), 0, 1)/86400+date(1970,1,1)"),44359.59957175926)</f>
        <v>44359.59957</v>
      </c>
      <c r="D63" s="39" t="s">
        <v>124</v>
      </c>
      <c r="E63" s="39" t="s">
        <v>211</v>
      </c>
      <c r="F63" s="39" t="s">
        <v>212</v>
      </c>
    </row>
    <row r="64">
      <c r="A64" s="39">
        <v>24.0</v>
      </c>
      <c r="B64" s="39">
        <v>1.623507804E9</v>
      </c>
      <c r="C64" s="40">
        <f>IFERROR(__xludf.DUMMYFUNCTION("INDEX(SPLIT(B64, char(10)), 0, 1)/86400+date(1970,1,1)"),44359.59958333333)</f>
        <v>44359.59958</v>
      </c>
      <c r="D64" s="39" t="s">
        <v>128</v>
      </c>
      <c r="E64" s="39" t="s">
        <v>213</v>
      </c>
      <c r="F64" s="39" t="s">
        <v>214</v>
      </c>
    </row>
    <row r="65">
      <c r="A65" s="39">
        <v>24.0</v>
      </c>
      <c r="B65" s="39">
        <v>1.623507808E9</v>
      </c>
      <c r="C65" s="40">
        <f>IFERROR(__xludf.DUMMYFUNCTION("INDEX(SPLIT(B65, char(10)), 0, 1)/86400+date(1970,1,1)"),44359.59962962963)</f>
        <v>44359.59963</v>
      </c>
      <c r="D65" s="39" t="s">
        <v>81</v>
      </c>
      <c r="E65" s="39" t="s">
        <v>215</v>
      </c>
      <c r="F65" s="39" t="s">
        <v>216</v>
      </c>
    </row>
    <row r="66">
      <c r="A66" s="39">
        <v>24.0</v>
      </c>
      <c r="B66" s="39">
        <v>1.623507818E9</v>
      </c>
      <c r="C66" s="40">
        <f>IFERROR(__xludf.DUMMYFUNCTION("INDEX(SPLIT(B66, char(10)), 0, 1)/86400+date(1970,1,1)"),44359.599745370375)</f>
        <v>44359.59975</v>
      </c>
      <c r="D66" s="39" t="s">
        <v>103</v>
      </c>
      <c r="E66" s="39" t="s">
        <v>217</v>
      </c>
      <c r="F66" s="39" t="s">
        <v>218</v>
      </c>
    </row>
    <row r="67">
      <c r="A67" s="39">
        <v>25.0</v>
      </c>
      <c r="B67" s="39">
        <v>1.623507876E9</v>
      </c>
      <c r="C67" s="40">
        <f>IFERROR(__xludf.DUMMYFUNCTION("INDEX(SPLIT(B67, char(10)), 0, 1)/86400+date(1970,1,1)"),44359.60041666667)</f>
        <v>44359.60042</v>
      </c>
      <c r="D67" s="39" t="s">
        <v>96</v>
      </c>
      <c r="E67" s="39" t="s">
        <v>219</v>
      </c>
      <c r="F67" s="39" t="s">
        <v>220</v>
      </c>
    </row>
    <row r="68">
      <c r="A68" s="39">
        <v>25.0</v>
      </c>
      <c r="B68" s="39">
        <v>1.623507879E9</v>
      </c>
      <c r="C68" s="40">
        <f>IFERROR(__xludf.DUMMYFUNCTION("INDEX(SPLIT(B68, char(10)), 0, 1)/86400+date(1970,1,1)"),44359.60045138889)</f>
        <v>44359.60045</v>
      </c>
      <c r="D68" s="39" t="s">
        <v>90</v>
      </c>
      <c r="E68" s="39" t="s">
        <v>221</v>
      </c>
      <c r="F68" s="39" t="s">
        <v>222</v>
      </c>
    </row>
    <row r="69">
      <c r="A69" s="39">
        <v>25.0</v>
      </c>
      <c r="B69" s="39">
        <v>1.623507885E9</v>
      </c>
      <c r="C69" s="40">
        <f>IFERROR(__xludf.DUMMYFUNCTION("INDEX(SPLIT(B69, char(10)), 0, 1)/86400+date(1970,1,1)"),44359.60052083334)</f>
        <v>44359.60052</v>
      </c>
      <c r="D69" s="39" t="s">
        <v>93</v>
      </c>
      <c r="E69" s="39" t="s">
        <v>223</v>
      </c>
      <c r="F69" s="39" t="s">
        <v>224</v>
      </c>
    </row>
    <row r="70">
      <c r="A70" s="39">
        <v>25.0</v>
      </c>
      <c r="B70" s="39">
        <v>1.62350792E9</v>
      </c>
      <c r="C70" s="40">
        <f>IFERROR(__xludf.DUMMYFUNCTION("INDEX(SPLIT(B70, char(10)), 0, 1)/86400+date(1970,1,1)"),44359.60092592593)</f>
        <v>44359.60093</v>
      </c>
      <c r="D70" s="39" t="s">
        <v>136</v>
      </c>
      <c r="E70" s="39" t="s">
        <v>225</v>
      </c>
      <c r="F70" s="39" t="s">
        <v>226</v>
      </c>
    </row>
    <row r="71">
      <c r="A71" s="39">
        <v>26.0</v>
      </c>
      <c r="B71" s="39">
        <v>1.623507982E9</v>
      </c>
      <c r="C71" s="40">
        <f>IFERROR(__xludf.DUMMYFUNCTION("INDEX(SPLIT(B71, char(10)), 0, 1)/86400+date(1970,1,1)"),44359.601643518516)</f>
        <v>44359.60164</v>
      </c>
      <c r="D71" s="39" t="s">
        <v>90</v>
      </c>
      <c r="E71" s="39" t="s">
        <v>227</v>
      </c>
      <c r="F71" s="39" t="s">
        <v>228</v>
      </c>
    </row>
    <row r="72">
      <c r="A72" s="39">
        <v>26.0</v>
      </c>
      <c r="B72" s="39">
        <v>1.62350799E9</v>
      </c>
      <c r="C72" s="40">
        <f>IFERROR(__xludf.DUMMYFUNCTION("INDEX(SPLIT(B72, char(10)), 0, 1)/86400+date(1970,1,1)"),44359.601736111115)</f>
        <v>44359.60174</v>
      </c>
      <c r="D72" s="39" t="s">
        <v>96</v>
      </c>
      <c r="E72" s="39" t="s">
        <v>229</v>
      </c>
      <c r="F72" s="39" t="s">
        <v>230</v>
      </c>
    </row>
    <row r="73">
      <c r="A73" s="39">
        <v>26.0</v>
      </c>
      <c r="B73" s="39">
        <v>1.623508007E9</v>
      </c>
      <c r="C73" s="40">
        <f>IFERROR(__xludf.DUMMYFUNCTION("INDEX(SPLIT(B73, char(10)), 0, 1)/86400+date(1970,1,1)"),44359.60193287037)</f>
        <v>44359.60193</v>
      </c>
      <c r="D73" s="39" t="s">
        <v>81</v>
      </c>
      <c r="E73" s="39" t="s">
        <v>231</v>
      </c>
      <c r="F73" s="39" t="s">
        <v>232</v>
      </c>
    </row>
    <row r="74">
      <c r="A74" s="39">
        <v>27.0</v>
      </c>
      <c r="B74" s="39">
        <v>1.623508104E9</v>
      </c>
      <c r="C74" s="40">
        <f>IFERROR(__xludf.DUMMYFUNCTION("INDEX(SPLIT(B74, char(10)), 0, 1)/86400+date(1970,1,1)"),44359.603055555555)</f>
        <v>44359.60306</v>
      </c>
      <c r="D74" s="39" t="s">
        <v>103</v>
      </c>
      <c r="E74" s="39" t="s">
        <v>233</v>
      </c>
      <c r="F74" s="39" t="s">
        <v>234</v>
      </c>
    </row>
    <row r="75">
      <c r="A75" s="39">
        <v>28.0</v>
      </c>
      <c r="B75" s="39">
        <v>1.623508235E9</v>
      </c>
      <c r="C75" s="40">
        <f>IFERROR(__xludf.DUMMYFUNCTION("INDEX(SPLIT(B75, char(10)), 0, 1)/86400+date(1970,1,1)"),44359.604571759264)</f>
        <v>44359.60457</v>
      </c>
      <c r="D75" s="39" t="s">
        <v>90</v>
      </c>
      <c r="E75" s="39" t="s">
        <v>235</v>
      </c>
      <c r="F75" s="39" t="s">
        <v>236</v>
      </c>
    </row>
    <row r="76">
      <c r="A76" s="39">
        <v>29.0</v>
      </c>
      <c r="B76" s="39">
        <v>1.623508345E9</v>
      </c>
      <c r="C76" s="40">
        <f>IFERROR(__xludf.DUMMYFUNCTION("INDEX(SPLIT(B76, char(10)), 0, 1)/86400+date(1970,1,1)"),44359.605844907404)</f>
        <v>44359.60584</v>
      </c>
      <c r="D76" s="39" t="s">
        <v>81</v>
      </c>
      <c r="E76" s="39" t="s">
        <v>237</v>
      </c>
      <c r="F76" s="39" t="s">
        <v>238</v>
      </c>
    </row>
    <row r="77">
      <c r="A77" s="39">
        <v>29.0</v>
      </c>
      <c r="B77" s="39">
        <v>1.623508417E9</v>
      </c>
      <c r="C77" s="40">
        <f>IFERROR(__xludf.DUMMYFUNCTION("INDEX(SPLIT(B77, char(10)), 0, 1)/86400+date(1970,1,1)"),44359.60667824074)</f>
        <v>44359.60668</v>
      </c>
      <c r="D77" s="39" t="s">
        <v>93</v>
      </c>
      <c r="E77" s="39" t="s">
        <v>239</v>
      </c>
      <c r="F77" s="39" t="s">
        <v>240</v>
      </c>
    </row>
    <row r="78">
      <c r="A78" s="39">
        <v>29.0</v>
      </c>
      <c r="B78" s="39">
        <v>1.623508426E9</v>
      </c>
      <c r="C78" s="40">
        <f>IFERROR(__xludf.DUMMYFUNCTION("INDEX(SPLIT(B78, char(10)), 0, 1)/86400+date(1970,1,1)"),44359.60678240741)</f>
        <v>44359.60678</v>
      </c>
      <c r="D78" s="39" t="s">
        <v>131</v>
      </c>
      <c r="E78" s="39" t="s">
        <v>194</v>
      </c>
      <c r="F78" s="39" t="s">
        <v>241</v>
      </c>
    </row>
    <row r="79">
      <c r="A79" s="39">
        <v>30.0</v>
      </c>
      <c r="B79" s="39">
        <v>1.62350844E9</v>
      </c>
      <c r="C79" s="40">
        <f>IFERROR(__xludf.DUMMYFUNCTION("INDEX(SPLIT(B79, char(10)), 0, 1)/86400+date(1970,1,1)"),44359.606944444444)</f>
        <v>44359.60694</v>
      </c>
      <c r="D79" s="39" t="s">
        <v>81</v>
      </c>
      <c r="E79" s="39" t="s">
        <v>242</v>
      </c>
      <c r="F79" s="39" t="s">
        <v>243</v>
      </c>
    </row>
    <row r="80">
      <c r="A80" s="39">
        <v>30.0</v>
      </c>
      <c r="B80" s="39">
        <v>1.623508447E9</v>
      </c>
      <c r="C80" s="40">
        <f>IFERROR(__xludf.DUMMYFUNCTION("INDEX(SPLIT(B80, char(10)), 0, 1)/86400+date(1970,1,1)"),44359.60702546296)</f>
        <v>44359.60703</v>
      </c>
      <c r="D80" s="39" t="s">
        <v>136</v>
      </c>
      <c r="E80" s="39" t="s">
        <v>244</v>
      </c>
      <c r="F80" s="39" t="s">
        <v>245</v>
      </c>
    </row>
    <row r="81">
      <c r="A81" s="39">
        <v>30.0</v>
      </c>
      <c r="B81" s="39">
        <v>1.623508455E9</v>
      </c>
      <c r="C81" s="40">
        <f>IFERROR(__xludf.DUMMYFUNCTION("INDEX(SPLIT(B81, char(10)), 0, 1)/86400+date(1970,1,1)"),44359.60711805556)</f>
        <v>44359.60712</v>
      </c>
      <c r="D81" s="39" t="s">
        <v>96</v>
      </c>
      <c r="E81" s="39" t="s">
        <v>246</v>
      </c>
      <c r="F81" s="39" t="s">
        <v>247</v>
      </c>
    </row>
    <row r="82">
      <c r="A82" s="39">
        <v>30.0</v>
      </c>
      <c r="B82" s="39">
        <v>1.623508456E9</v>
      </c>
      <c r="C82" s="40">
        <f>IFERROR(__xludf.DUMMYFUNCTION("INDEX(SPLIT(B82, char(10)), 0, 1)/86400+date(1970,1,1)"),44359.60712962963)</f>
        <v>44359.60713</v>
      </c>
      <c r="D82" s="39" t="s">
        <v>151</v>
      </c>
      <c r="E82" s="39" t="s">
        <v>248</v>
      </c>
      <c r="F82" s="39" t="s">
        <v>249</v>
      </c>
    </row>
    <row r="83">
      <c r="A83" s="39">
        <v>30.0</v>
      </c>
      <c r="B83" s="39">
        <v>1.623508457E9</v>
      </c>
      <c r="C83" s="40">
        <f>IFERROR(__xludf.DUMMYFUNCTION("INDEX(SPLIT(B83, char(10)), 0, 1)/86400+date(1970,1,1)"),44359.607141203705)</f>
        <v>44359.60714</v>
      </c>
      <c r="D83" s="39" t="s">
        <v>90</v>
      </c>
      <c r="E83" s="39" t="s">
        <v>250</v>
      </c>
      <c r="F83" s="39" t="s">
        <v>251</v>
      </c>
    </row>
    <row r="84">
      <c r="A84" s="39">
        <v>30.0</v>
      </c>
      <c r="B84" s="39">
        <v>1.623508476E9</v>
      </c>
      <c r="C84" s="40">
        <f>IFERROR(__xludf.DUMMYFUNCTION("INDEX(SPLIT(B84, char(10)), 0, 1)/86400+date(1970,1,1)"),44359.607361111106)</f>
        <v>44359.60736</v>
      </c>
      <c r="D84" s="39" t="s">
        <v>174</v>
      </c>
      <c r="E84" s="39" t="s">
        <v>252</v>
      </c>
      <c r="F84" s="39" t="s">
        <v>253</v>
      </c>
    </row>
    <row r="85">
      <c r="A85" s="39">
        <v>30.0</v>
      </c>
      <c r="B85" s="39">
        <v>1.623508502E9</v>
      </c>
      <c r="C85" s="40">
        <f>IFERROR(__xludf.DUMMYFUNCTION("INDEX(SPLIT(B85, char(10)), 0, 1)/86400+date(1970,1,1)"),44359.60766203704)</f>
        <v>44359.60766</v>
      </c>
      <c r="D85" s="39" t="s">
        <v>103</v>
      </c>
      <c r="E85" s="39" t="s">
        <v>254</v>
      </c>
      <c r="F85" s="39" t="s">
        <v>255</v>
      </c>
    </row>
    <row r="86">
      <c r="A86" s="39">
        <v>31.0</v>
      </c>
      <c r="B86" s="39">
        <v>1.623508536E9</v>
      </c>
      <c r="C86" s="40">
        <f>IFERROR(__xludf.DUMMYFUNCTION("INDEX(SPLIT(B86, char(10)), 0, 1)/86400+date(1970,1,1)"),44359.60805555555)</f>
        <v>44359.60806</v>
      </c>
      <c r="D86" s="39" t="s">
        <v>81</v>
      </c>
      <c r="E86" s="39" t="s">
        <v>256</v>
      </c>
      <c r="F86" s="39" t="s">
        <v>257</v>
      </c>
    </row>
    <row r="87">
      <c r="A87" s="39">
        <v>31.0</v>
      </c>
      <c r="B87" s="39">
        <v>1.623508593E9</v>
      </c>
      <c r="C87" s="40">
        <f>IFERROR(__xludf.DUMMYFUNCTION("INDEX(SPLIT(B87, char(10)), 0, 1)/86400+date(1970,1,1)"),44359.608715277776)</f>
        <v>44359.60872</v>
      </c>
      <c r="D87" s="39" t="s">
        <v>90</v>
      </c>
      <c r="E87" s="39" t="s">
        <v>258</v>
      </c>
      <c r="F87" s="39" t="s">
        <v>259</v>
      </c>
    </row>
    <row r="88">
      <c r="A88" s="39">
        <v>32.0</v>
      </c>
      <c r="B88" s="39">
        <v>1.623508626E9</v>
      </c>
      <c r="C88" s="40">
        <f>IFERROR(__xludf.DUMMYFUNCTION("INDEX(SPLIT(B88, char(10)), 0, 1)/86400+date(1970,1,1)"),44359.60909722222)</f>
        <v>44359.6091</v>
      </c>
      <c r="D88" s="39" t="s">
        <v>131</v>
      </c>
      <c r="E88" s="39" t="s">
        <v>260</v>
      </c>
      <c r="F88" s="39" t="s">
        <v>261</v>
      </c>
    </row>
    <row r="89">
      <c r="A89" s="39">
        <v>32.0</v>
      </c>
      <c r="B89" s="39">
        <v>1.623508635E9</v>
      </c>
      <c r="C89" s="40">
        <f>IFERROR(__xludf.DUMMYFUNCTION("INDEX(SPLIT(B89, char(10)), 0, 1)/86400+date(1970,1,1)"),44359.609201388885)</f>
        <v>44359.6092</v>
      </c>
      <c r="D89" s="39" t="s">
        <v>103</v>
      </c>
      <c r="E89" s="39" t="s">
        <v>262</v>
      </c>
      <c r="F89" s="39" t="s">
        <v>263</v>
      </c>
    </row>
    <row r="90">
      <c r="A90" s="39">
        <v>32.0</v>
      </c>
      <c r="B90" s="39">
        <v>1.623508696E9</v>
      </c>
      <c r="C90" s="40">
        <f>IFERROR(__xludf.DUMMYFUNCTION("INDEX(SPLIT(B90, char(10)), 0, 1)/86400+date(1970,1,1)"),44359.60990740741)</f>
        <v>44359.60991</v>
      </c>
      <c r="D90" s="39" t="s">
        <v>136</v>
      </c>
      <c r="E90" s="39" t="s">
        <v>264</v>
      </c>
      <c r="F90" s="39" t="s">
        <v>265</v>
      </c>
    </row>
    <row r="91">
      <c r="A91" s="39">
        <v>32.0</v>
      </c>
      <c r="B91" s="39">
        <v>1.623508701E9</v>
      </c>
      <c r="C91" s="40">
        <f>IFERROR(__xludf.DUMMYFUNCTION("INDEX(SPLIT(B91, char(10)), 0, 1)/86400+date(1970,1,1)"),44359.60996527778)</f>
        <v>44359.60997</v>
      </c>
      <c r="D91" s="39" t="s">
        <v>81</v>
      </c>
      <c r="E91" s="39" t="s">
        <v>266</v>
      </c>
      <c r="F91" s="39" t="s">
        <v>267</v>
      </c>
    </row>
    <row r="92">
      <c r="A92" s="39">
        <v>32.0</v>
      </c>
      <c r="B92" s="39">
        <v>1.623508712E9</v>
      </c>
      <c r="C92" s="40">
        <f>IFERROR(__xludf.DUMMYFUNCTION("INDEX(SPLIT(B92, char(10)), 0, 1)/86400+date(1970,1,1)"),44359.61009259259)</f>
        <v>44359.61009</v>
      </c>
      <c r="D92" s="39" t="s">
        <v>93</v>
      </c>
      <c r="E92" s="39" t="s">
        <v>268</v>
      </c>
      <c r="F92" s="39" t="s">
        <v>269</v>
      </c>
    </row>
    <row r="93">
      <c r="A93" s="39">
        <v>33.0</v>
      </c>
      <c r="B93" s="39">
        <v>1.623508775E9</v>
      </c>
      <c r="C93" s="40">
        <f>IFERROR(__xludf.DUMMYFUNCTION("INDEX(SPLIT(B93, char(10)), 0, 1)/86400+date(1970,1,1)"),44359.610821759255)</f>
        <v>44359.61082</v>
      </c>
      <c r="D93" s="39" t="s">
        <v>103</v>
      </c>
      <c r="E93" s="39" t="s">
        <v>270</v>
      </c>
      <c r="F93" s="39" t="s">
        <v>271</v>
      </c>
    </row>
    <row r="94">
      <c r="A94" s="39">
        <v>33.0</v>
      </c>
      <c r="B94" s="39">
        <v>1.623508794E9</v>
      </c>
      <c r="C94" s="40">
        <f>IFERROR(__xludf.DUMMYFUNCTION("INDEX(SPLIT(B94, char(10)), 0, 1)/86400+date(1970,1,1)"),44359.61104166666)</f>
        <v>44359.61104</v>
      </c>
      <c r="D94" s="39" t="s">
        <v>96</v>
      </c>
      <c r="E94" s="39" t="s">
        <v>166</v>
      </c>
      <c r="F94" s="39" t="s">
        <v>272</v>
      </c>
    </row>
    <row r="95">
      <c r="A95" s="39">
        <v>33.0</v>
      </c>
      <c r="B95" s="39">
        <v>1.623508796E9</v>
      </c>
      <c r="C95" s="40">
        <f>IFERROR(__xludf.DUMMYFUNCTION("INDEX(SPLIT(B95, char(10)), 0, 1)/86400+date(1970,1,1)"),44359.61106481482)</f>
        <v>44359.61106</v>
      </c>
      <c r="D95" s="39" t="s">
        <v>81</v>
      </c>
      <c r="E95" s="39" t="s">
        <v>273</v>
      </c>
      <c r="F95" s="39" t="s">
        <v>274</v>
      </c>
    </row>
    <row r="96">
      <c r="A96" s="39">
        <v>33.0</v>
      </c>
      <c r="B96" s="39">
        <v>1.623508825E9</v>
      </c>
      <c r="C96" s="40">
        <f>IFERROR(__xludf.DUMMYFUNCTION("INDEX(SPLIT(B96, char(10)), 0, 1)/86400+date(1970,1,1)"),44359.61140046296)</f>
        <v>44359.6114</v>
      </c>
      <c r="D96" s="39" t="s">
        <v>124</v>
      </c>
      <c r="E96" s="39" t="s">
        <v>275</v>
      </c>
      <c r="F96" s="39" t="s">
        <v>276</v>
      </c>
    </row>
    <row r="97">
      <c r="A97" s="39">
        <v>34.0</v>
      </c>
      <c r="B97" s="39">
        <v>1.623508891E9</v>
      </c>
      <c r="C97" s="40">
        <f>IFERROR(__xludf.DUMMYFUNCTION("INDEX(SPLIT(B97, char(10)), 0, 1)/86400+date(1970,1,1)"),44359.612164351856)</f>
        <v>44359.61216</v>
      </c>
      <c r="D97" s="39" t="s">
        <v>81</v>
      </c>
      <c r="E97" s="39" t="s">
        <v>277</v>
      </c>
      <c r="F97" s="39" t="s">
        <v>278</v>
      </c>
    </row>
    <row r="98">
      <c r="A98" s="39">
        <v>34.0</v>
      </c>
      <c r="B98" s="39">
        <v>1.62350894E9</v>
      </c>
      <c r="C98" s="40">
        <f>IFERROR(__xludf.DUMMYFUNCTION("INDEX(SPLIT(B98, char(10)), 0, 1)/86400+date(1970,1,1)"),44359.61273148148)</f>
        <v>44359.61273</v>
      </c>
      <c r="D98" s="39" t="s">
        <v>90</v>
      </c>
      <c r="E98" s="39" t="s">
        <v>279</v>
      </c>
      <c r="F98" s="39" t="s">
        <v>280</v>
      </c>
    </row>
    <row r="99">
      <c r="A99" s="39">
        <v>34.0</v>
      </c>
      <c r="B99" s="39">
        <v>1.623508953E9</v>
      </c>
      <c r="C99" s="40">
        <f>IFERROR(__xludf.DUMMYFUNCTION("INDEX(SPLIT(B99, char(10)), 0, 1)/86400+date(1970,1,1)"),44359.61288194444)</f>
        <v>44359.61288</v>
      </c>
      <c r="D99" s="39" t="s">
        <v>103</v>
      </c>
      <c r="E99" s="39" t="s">
        <v>281</v>
      </c>
      <c r="F99" s="39" t="s">
        <v>282</v>
      </c>
    </row>
    <row r="100">
      <c r="A100" s="39">
        <v>35.0</v>
      </c>
      <c r="B100" s="39">
        <v>1.623509004E9</v>
      </c>
      <c r="C100" s="40">
        <f>IFERROR(__xludf.DUMMYFUNCTION("INDEX(SPLIT(B100, char(10)), 0, 1)/86400+date(1970,1,1)"),44359.61347222222)</f>
        <v>44359.61347</v>
      </c>
      <c r="D100" s="39" t="s">
        <v>81</v>
      </c>
      <c r="E100" s="39" t="s">
        <v>283</v>
      </c>
      <c r="F100" s="39" t="s">
        <v>284</v>
      </c>
    </row>
    <row r="101">
      <c r="A101" s="39">
        <v>35.0</v>
      </c>
      <c r="B101" s="39">
        <v>1.623509009E9</v>
      </c>
      <c r="C101" s="40">
        <f>IFERROR(__xludf.DUMMYFUNCTION("INDEX(SPLIT(B101, char(10)), 0, 1)/86400+date(1970,1,1)"),44359.613530092596)</f>
        <v>44359.61353</v>
      </c>
      <c r="D101" s="39" t="s">
        <v>93</v>
      </c>
      <c r="E101" s="39" t="s">
        <v>285</v>
      </c>
      <c r="F101" s="39" t="s">
        <v>286</v>
      </c>
    </row>
    <row r="102">
      <c r="A102" s="39">
        <v>35.0</v>
      </c>
      <c r="B102" s="39">
        <v>1.62350903E9</v>
      </c>
      <c r="C102" s="40">
        <f>IFERROR(__xludf.DUMMYFUNCTION("INDEX(SPLIT(B102, char(10)), 0, 1)/86400+date(1970,1,1)"),44359.61377314814)</f>
        <v>44359.61377</v>
      </c>
      <c r="D102" s="39" t="s">
        <v>96</v>
      </c>
      <c r="E102" s="39" t="s">
        <v>160</v>
      </c>
      <c r="F102" s="39" t="s">
        <v>287</v>
      </c>
    </row>
    <row r="103">
      <c r="A103" s="39">
        <v>36.0</v>
      </c>
      <c r="B103" s="39">
        <v>1.623509097E9</v>
      </c>
      <c r="C103" s="40">
        <f>IFERROR(__xludf.DUMMYFUNCTION("INDEX(SPLIT(B103, char(10)), 0, 1)/86400+date(1970,1,1)"),44359.61454861111)</f>
        <v>44359.61455</v>
      </c>
      <c r="D103" s="39" t="s">
        <v>103</v>
      </c>
      <c r="E103" s="39" t="s">
        <v>288</v>
      </c>
      <c r="F103" s="39" t="s">
        <v>289</v>
      </c>
    </row>
    <row r="104">
      <c r="A104" s="39">
        <v>36.0</v>
      </c>
      <c r="B104" s="39">
        <v>1.62350911E9</v>
      </c>
      <c r="C104" s="40">
        <f>IFERROR(__xludf.DUMMYFUNCTION("INDEX(SPLIT(B104, char(10)), 0, 1)/86400+date(1970,1,1)"),44359.614699074074)</f>
        <v>44359.6147</v>
      </c>
      <c r="D104" s="39" t="s">
        <v>93</v>
      </c>
      <c r="E104" s="39" t="s">
        <v>290</v>
      </c>
      <c r="F104" s="39" t="s">
        <v>291</v>
      </c>
    </row>
    <row r="105">
      <c r="A105" s="39">
        <v>36.0</v>
      </c>
      <c r="B105" s="39">
        <v>1.623509125E9</v>
      </c>
      <c r="C105" s="40">
        <f>IFERROR(__xludf.DUMMYFUNCTION("INDEX(SPLIT(B105, char(10)), 0, 1)/86400+date(1970,1,1)"),44359.61487268518)</f>
        <v>44359.61487</v>
      </c>
      <c r="D105" s="39" t="s">
        <v>124</v>
      </c>
      <c r="E105" s="39" t="s">
        <v>292</v>
      </c>
      <c r="F105" s="39" t="s">
        <v>293</v>
      </c>
    </row>
    <row r="106">
      <c r="A106" s="39">
        <v>36.0</v>
      </c>
      <c r="B106" s="39">
        <v>1.623509153E9</v>
      </c>
      <c r="C106" s="40">
        <f>IFERROR(__xludf.DUMMYFUNCTION("INDEX(SPLIT(B106, char(10)), 0, 1)/86400+date(1970,1,1)"),44359.61519675926)</f>
        <v>44359.6152</v>
      </c>
      <c r="D106" s="39" t="s">
        <v>90</v>
      </c>
      <c r="E106" s="39" t="s">
        <v>294</v>
      </c>
      <c r="F106" s="39" t="s">
        <v>295</v>
      </c>
    </row>
    <row r="107">
      <c r="A107" s="39">
        <v>37.0</v>
      </c>
      <c r="B107" s="39">
        <v>1.623509204E9</v>
      </c>
      <c r="C107" s="40">
        <f>IFERROR(__xludf.DUMMYFUNCTION("INDEX(SPLIT(B107, char(10)), 0, 1)/86400+date(1970,1,1)"),44359.61578703704)</f>
        <v>44359.61579</v>
      </c>
      <c r="D107" s="39" t="s">
        <v>96</v>
      </c>
      <c r="E107" s="39" t="s">
        <v>296</v>
      </c>
      <c r="F107" s="39" t="s">
        <v>297</v>
      </c>
    </row>
    <row r="108">
      <c r="A108" s="39">
        <v>37.0</v>
      </c>
      <c r="B108" s="39">
        <v>1.623509256E9</v>
      </c>
      <c r="C108" s="40">
        <f>IFERROR(__xludf.DUMMYFUNCTION("INDEX(SPLIT(B108, char(10)), 0, 1)/86400+date(1970,1,1)"),44359.616388888884)</f>
        <v>44359.61639</v>
      </c>
      <c r="D108" s="39" t="s">
        <v>81</v>
      </c>
      <c r="E108" s="39" t="s">
        <v>298</v>
      </c>
      <c r="F108" s="39" t="s">
        <v>299</v>
      </c>
    </row>
    <row r="109">
      <c r="A109" s="39">
        <v>37.0</v>
      </c>
      <c r="B109" s="39">
        <v>1.62350927E9</v>
      </c>
      <c r="C109" s="40">
        <f>IFERROR(__xludf.DUMMYFUNCTION("INDEX(SPLIT(B109, char(10)), 0, 1)/86400+date(1970,1,1)"),44359.61655092593)</f>
        <v>44359.61655</v>
      </c>
      <c r="D109" s="39" t="s">
        <v>90</v>
      </c>
      <c r="E109" s="39" t="s">
        <v>290</v>
      </c>
      <c r="F109" s="39" t="s">
        <v>300</v>
      </c>
    </row>
    <row r="110">
      <c r="A110" s="39">
        <v>37.0</v>
      </c>
      <c r="B110" s="39">
        <v>1.62350929E9</v>
      </c>
      <c r="C110" s="40">
        <f>IFERROR(__xludf.DUMMYFUNCTION("INDEX(SPLIT(B110, char(10)), 0, 1)/86400+date(1970,1,1)"),44359.61678240741)</f>
        <v>44359.61678</v>
      </c>
      <c r="D110" s="39" t="s">
        <v>103</v>
      </c>
      <c r="E110" s="39" t="s">
        <v>301</v>
      </c>
      <c r="F110" s="39" t="s">
        <v>302</v>
      </c>
    </row>
    <row r="111">
      <c r="A111" s="39">
        <v>38.0</v>
      </c>
      <c r="B111" s="39">
        <v>1.62350936E9</v>
      </c>
      <c r="C111" s="40">
        <f>IFERROR(__xludf.DUMMYFUNCTION("INDEX(SPLIT(B111, char(10)), 0, 1)/86400+date(1970,1,1)"),44359.61759259259)</f>
        <v>44359.61759</v>
      </c>
      <c r="D111" s="39" t="s">
        <v>90</v>
      </c>
      <c r="E111" s="39" t="s">
        <v>185</v>
      </c>
      <c r="F111" s="39" t="s">
        <v>303</v>
      </c>
    </row>
    <row r="112">
      <c r="A112" s="39">
        <v>38.0</v>
      </c>
      <c r="B112" s="39">
        <v>1.623509383E9</v>
      </c>
      <c r="C112" s="40">
        <f>IFERROR(__xludf.DUMMYFUNCTION("INDEX(SPLIT(B112, char(10)), 0, 1)/86400+date(1970,1,1)"),44359.61785879629)</f>
        <v>44359.61786</v>
      </c>
      <c r="D112" s="39" t="s">
        <v>103</v>
      </c>
      <c r="E112" s="39" t="s">
        <v>304</v>
      </c>
      <c r="F112" s="39" t="s">
        <v>305</v>
      </c>
    </row>
    <row r="113">
      <c r="A113" s="39">
        <v>38.0</v>
      </c>
      <c r="B113" s="39">
        <v>1.62350941E9</v>
      </c>
      <c r="C113" s="40">
        <f>IFERROR(__xludf.DUMMYFUNCTION("INDEX(SPLIT(B113, char(10)), 0, 1)/86400+date(1970,1,1)"),44359.6181712963)</f>
        <v>44359.61817</v>
      </c>
      <c r="D113" s="39" t="s">
        <v>81</v>
      </c>
      <c r="E113" s="39" t="s">
        <v>306</v>
      </c>
      <c r="F113" s="39" t="s">
        <v>307</v>
      </c>
    </row>
    <row r="114">
      <c r="A114" s="39">
        <v>38.0</v>
      </c>
      <c r="B114" s="39">
        <v>1.623509432E9</v>
      </c>
      <c r="C114" s="40">
        <f>IFERROR(__xludf.DUMMYFUNCTION("INDEX(SPLIT(B114, char(10)), 0, 1)/86400+date(1970,1,1)"),44359.618425925924)</f>
        <v>44359.61843</v>
      </c>
      <c r="D114" s="39" t="s">
        <v>136</v>
      </c>
      <c r="E114" s="39" t="s">
        <v>244</v>
      </c>
      <c r="F114" s="39" t="s">
        <v>308</v>
      </c>
    </row>
    <row r="115">
      <c r="A115" s="39">
        <v>38.0</v>
      </c>
      <c r="B115" s="39">
        <v>1.623509437E9</v>
      </c>
      <c r="C115" s="40">
        <f>IFERROR(__xludf.DUMMYFUNCTION("INDEX(SPLIT(B115, char(10)), 0, 1)/86400+date(1970,1,1)"),44359.618483796294)</f>
        <v>44359.61848</v>
      </c>
      <c r="D115" s="39" t="s">
        <v>174</v>
      </c>
      <c r="E115" s="39" t="s">
        <v>175</v>
      </c>
      <c r="F115" s="39" t="s">
        <v>309</v>
      </c>
    </row>
    <row r="116">
      <c r="A116" s="39">
        <v>38.0</v>
      </c>
      <c r="B116" s="39">
        <v>1.62350944E9</v>
      </c>
      <c r="C116" s="40">
        <f>IFERROR(__xludf.DUMMYFUNCTION("INDEX(SPLIT(B116, char(10)), 0, 1)/86400+date(1970,1,1)"),44359.61851851852)</f>
        <v>44359.61852</v>
      </c>
      <c r="D116" s="39" t="s">
        <v>93</v>
      </c>
      <c r="E116" s="39" t="s">
        <v>310</v>
      </c>
      <c r="F116" s="39" t="s">
        <v>311</v>
      </c>
    </row>
    <row r="117">
      <c r="A117" s="39">
        <v>39.0</v>
      </c>
      <c r="B117" s="39">
        <v>1.623509453E9</v>
      </c>
      <c r="C117" s="40">
        <f>IFERROR(__xludf.DUMMYFUNCTION("INDEX(SPLIT(B117, char(10)), 0, 1)/86400+date(1970,1,1)"),44359.61866898148)</f>
        <v>44359.61867</v>
      </c>
      <c r="D117" s="39" t="s">
        <v>124</v>
      </c>
      <c r="E117" s="39" t="s">
        <v>312</v>
      </c>
      <c r="F117" s="39" t="s">
        <v>313</v>
      </c>
    </row>
    <row r="118">
      <c r="A118" s="39">
        <v>39.0</v>
      </c>
      <c r="B118" s="39">
        <v>1.623509511E9</v>
      </c>
      <c r="C118" s="40">
        <f>IFERROR(__xludf.DUMMYFUNCTION("INDEX(SPLIT(B118, char(10)), 0, 1)/86400+date(1970,1,1)"),44359.61934027778)</f>
        <v>44359.61934</v>
      </c>
      <c r="D118" s="39" t="s">
        <v>81</v>
      </c>
      <c r="E118" s="39" t="s">
        <v>314</v>
      </c>
      <c r="F118" s="39" t="s">
        <v>315</v>
      </c>
    </row>
    <row r="119">
      <c r="A119" s="39">
        <v>39.0</v>
      </c>
      <c r="B119" s="39">
        <v>1.62350954E9</v>
      </c>
      <c r="C119" s="40">
        <f>IFERROR(__xludf.DUMMYFUNCTION("INDEX(SPLIT(B119, char(10)), 0, 1)/86400+date(1970,1,1)"),44359.619675925926)</f>
        <v>44359.61968</v>
      </c>
      <c r="D119" s="39" t="s">
        <v>90</v>
      </c>
      <c r="E119" s="39" t="s">
        <v>316</v>
      </c>
      <c r="F119" s="39" t="s">
        <v>317</v>
      </c>
    </row>
    <row r="120">
      <c r="A120" s="39">
        <v>39.0</v>
      </c>
      <c r="B120" s="39">
        <v>1.623509542E9</v>
      </c>
      <c r="C120" s="40">
        <f>IFERROR(__xludf.DUMMYFUNCTION("INDEX(SPLIT(B120, char(10)), 0, 1)/86400+date(1970,1,1)"),44359.61969907407)</f>
        <v>44359.6197</v>
      </c>
      <c r="D120" s="39" t="s">
        <v>151</v>
      </c>
      <c r="E120" s="39" t="s">
        <v>318</v>
      </c>
      <c r="F120" s="39" t="s">
        <v>319</v>
      </c>
    </row>
    <row r="121">
      <c r="A121" s="39">
        <v>40.0</v>
      </c>
      <c r="B121" s="39">
        <v>1.623509561E9</v>
      </c>
      <c r="C121" s="40">
        <f>IFERROR(__xludf.DUMMYFUNCTION("INDEX(SPLIT(B121, char(10)), 0, 1)/86400+date(1970,1,1)"),44359.61991898148)</f>
        <v>44359.61992</v>
      </c>
      <c r="D121" s="39" t="s">
        <v>96</v>
      </c>
      <c r="E121" s="39" t="s">
        <v>320</v>
      </c>
      <c r="F121" s="39" t="s">
        <v>321</v>
      </c>
    </row>
    <row r="122">
      <c r="A122" s="39">
        <v>40.0</v>
      </c>
      <c r="B122" s="39">
        <v>1.62350962E9</v>
      </c>
      <c r="C122" s="40">
        <f>IFERROR(__xludf.DUMMYFUNCTION("INDEX(SPLIT(B122, char(10)), 0, 1)/86400+date(1970,1,1)"),44359.62060185186)</f>
        <v>44359.6206</v>
      </c>
      <c r="D122" s="39" t="s">
        <v>131</v>
      </c>
      <c r="E122" s="39" t="s">
        <v>322</v>
      </c>
      <c r="F122" s="39" t="s">
        <v>323</v>
      </c>
    </row>
    <row r="123">
      <c r="A123" s="39">
        <v>40.0</v>
      </c>
      <c r="B123" s="39">
        <v>1.623509625E9</v>
      </c>
      <c r="C123" s="40">
        <f>IFERROR(__xludf.DUMMYFUNCTION("INDEX(SPLIT(B123, char(10)), 0, 1)/86400+date(1970,1,1)"),44359.62065972222)</f>
        <v>44359.62066</v>
      </c>
      <c r="D123" s="39" t="s">
        <v>81</v>
      </c>
      <c r="E123" s="39" t="s">
        <v>324</v>
      </c>
      <c r="F123" s="39" t="s">
        <v>325</v>
      </c>
    </row>
    <row r="124">
      <c r="A124" s="39">
        <v>40.0</v>
      </c>
      <c r="B124" s="39">
        <v>1.623509631E9</v>
      </c>
      <c r="C124" s="40">
        <f>IFERROR(__xludf.DUMMYFUNCTION("INDEX(SPLIT(B124, char(10)), 0, 1)/86400+date(1970,1,1)"),44359.620729166665)</f>
        <v>44359.62073</v>
      </c>
      <c r="D124" s="39" t="s">
        <v>90</v>
      </c>
      <c r="E124" s="39" t="s">
        <v>112</v>
      </c>
      <c r="F124" s="39" t="s">
        <v>326</v>
      </c>
    </row>
    <row r="125">
      <c r="A125" s="39">
        <v>41.0</v>
      </c>
      <c r="B125" s="39">
        <v>1.623509725E9</v>
      </c>
      <c r="C125" s="40">
        <f>IFERROR(__xludf.DUMMYFUNCTION("INDEX(SPLIT(B125, char(10)), 0, 1)/86400+date(1970,1,1)"),44359.621817129635)</f>
        <v>44359.62182</v>
      </c>
      <c r="D125" s="39" t="s">
        <v>131</v>
      </c>
      <c r="E125" s="39" t="s">
        <v>327</v>
      </c>
      <c r="F125" s="39" t="s">
        <v>328</v>
      </c>
    </row>
    <row r="126">
      <c r="A126" s="39">
        <v>41.0</v>
      </c>
      <c r="B126" s="39">
        <v>1.623509748E9</v>
      </c>
      <c r="C126" s="40">
        <f>IFERROR(__xludf.DUMMYFUNCTION("INDEX(SPLIT(B126, char(10)), 0, 1)/86400+date(1970,1,1)"),44359.622083333335)</f>
        <v>44359.62208</v>
      </c>
      <c r="D126" s="39" t="s">
        <v>103</v>
      </c>
      <c r="E126" s="39" t="s">
        <v>329</v>
      </c>
      <c r="F126" s="39" t="s">
        <v>330</v>
      </c>
    </row>
    <row r="127">
      <c r="A127" s="39">
        <v>41.0</v>
      </c>
      <c r="B127" s="39">
        <v>1.623509751E9</v>
      </c>
      <c r="C127" s="40">
        <f>IFERROR(__xludf.DUMMYFUNCTION("INDEX(SPLIT(B127, char(10)), 0, 1)/86400+date(1970,1,1)"),44359.62211805556)</f>
        <v>44359.62212</v>
      </c>
      <c r="D127" s="39" t="s">
        <v>81</v>
      </c>
      <c r="E127" s="39" t="s">
        <v>331</v>
      </c>
      <c r="F127" s="39" t="s">
        <v>332</v>
      </c>
    </row>
    <row r="128">
      <c r="A128" s="39">
        <v>41.0</v>
      </c>
      <c r="B128" s="39">
        <v>1.623509791E9</v>
      </c>
      <c r="C128" s="40">
        <f>IFERROR(__xludf.DUMMYFUNCTION("INDEX(SPLIT(B128, char(10)), 0, 1)/86400+date(1970,1,1)"),44359.62258101851)</f>
        <v>44359.62258</v>
      </c>
      <c r="D128" s="39" t="s">
        <v>124</v>
      </c>
      <c r="E128" s="39" t="s">
        <v>333</v>
      </c>
      <c r="F128" s="39" t="s">
        <v>334</v>
      </c>
    </row>
    <row r="129">
      <c r="A129" s="39">
        <v>42.0</v>
      </c>
      <c r="B129" s="39">
        <v>1.623509871E9</v>
      </c>
      <c r="C129" s="40">
        <f>IFERROR(__xludf.DUMMYFUNCTION("INDEX(SPLIT(B129, char(10)), 0, 1)/86400+date(1970,1,1)"),44359.623506944445)</f>
        <v>44359.62351</v>
      </c>
      <c r="D129" s="39" t="s">
        <v>81</v>
      </c>
      <c r="E129" s="39" t="s">
        <v>335</v>
      </c>
      <c r="F129" s="39" t="s">
        <v>336</v>
      </c>
    </row>
    <row r="130">
      <c r="A130" s="39">
        <v>43.0</v>
      </c>
      <c r="B130" s="39">
        <v>1.623509989E9</v>
      </c>
      <c r="C130" s="40">
        <f>IFERROR(__xludf.DUMMYFUNCTION("INDEX(SPLIT(B130, char(10)), 0, 1)/86400+date(1970,1,1)"),44359.624872685185)</f>
        <v>44359.62487</v>
      </c>
      <c r="D130" s="39" t="s">
        <v>174</v>
      </c>
      <c r="E130" s="39" t="s">
        <v>337</v>
      </c>
      <c r="F130" s="39" t="s">
        <v>338</v>
      </c>
    </row>
    <row r="132">
      <c r="C132" s="40"/>
    </row>
    <row r="133">
      <c r="C133" s="40"/>
    </row>
    <row r="134">
      <c r="C134" s="40"/>
    </row>
    <row r="135">
      <c r="C135" s="40"/>
    </row>
    <row r="136">
      <c r="C136" s="40"/>
    </row>
    <row r="137">
      <c r="C137" s="40"/>
    </row>
    <row r="138">
      <c r="C138" s="4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IFERROR(__xludf.DUMMYFUNCTION("TRANSPOSE(UNIQUE(INDIRECT(B2&amp;""!D2:D107"")))"),"['champion', 'final', 'leagu', 'footbal', 'win']")</f>
        <v>['champion', 'final', 'leagu', 'footbal', 'win']</v>
      </c>
      <c r="G1" s="5" t="str">
        <f>IFERROR(__xludf.DUMMYFUNCTION("""COMPUTED_VALUE"""),"['take', 'knee', 'player']")</f>
        <v>['take', 'knee', 'player']</v>
      </c>
      <c r="H1" s="5" t="str">
        <f>IFERROR(__xludf.DUMMYFUNCTION("""COMPUTED_VALUE"""),"['goal', 'score', 'conced', 'equalis', 'offsid', 'assist']")</f>
        <v>['goal', 'score', 'conced', 'equalis', 'offsid', 'assist']</v>
      </c>
      <c r="I1" s="5" t="str">
        <f>IFERROR(__xludf.DUMMYFUNCTION("""COMPUTED_VALUE"""),"['need', 'half', 'sub', 'second', 'lead', '2nd']")</f>
        <v>['need', 'half', 'sub', 'second', 'lead', '2nd']</v>
      </c>
      <c r="J1" s="5" t="str">
        <f>IFERROR(__xludf.DUMMYFUNCTION("""COMPUTED_VALUE"""),"['touch', 'cross', 'ball', 'pass']")</f>
        <v>['touch', 'cross', 'ball', 'pass']</v>
      </c>
      <c r="K1" s="5" t="str">
        <f>IFERROR(__xludf.DUMMYFUNCTION("""COMPUTED_VALUE"""),"['foul', 'refere', 'book', 'decis', 'var', 'given', 'pen', 'dive', 'ref', 'penalti']")</f>
        <v>['foul', 'refere', 'book', 'decis', 'var', 'given', 'pen', 'dive', 'ref', 'penalti']</v>
      </c>
      <c r="L1" s="5" t="str">
        <f>IFERROR(__xludf.DUMMYFUNCTION("""COMPUTED_VALUE"""),"['tackl', 'dribbl', 'yellow', 'red', 'card']")</f>
        <v>['tackl', 'dribbl', 'yellow', 'red', 'card']</v>
      </c>
      <c r="M1" s="5" t="str">
        <f>IFERROR(__xludf.DUMMYFUNCTION("""COMPUTED_VALUE"""),"['gol', 'stream', 'onlin', 'free', 'reddit', 'link', 'EXCLUDED-manchest', 'ff', 'live']")</f>
        <v>['gol', 'stream', 'onlin', 'free', 'reddit', 'link', 'EXCLUDED-manchest', 'ff', 'live']</v>
      </c>
      <c r="N1" s="5" t="str">
        <f>IFERROR(__xludf.DUMMYFUNCTION("""COMPUTED_VALUE"""),"['deflect', 'kick', 'corner', 'shot', 'net']")</f>
        <v>['deflect', 'kick', 'corner', 'shot', 'net']</v>
      </c>
      <c r="O1" s="5" t="str">
        <f>IFERROR(__xludf.DUMMYFUNCTION("""COMPUTED_VALUE"""),"['world', 'class', 'striker']")</f>
        <v>['world', 'class', 'striker']</v>
      </c>
      <c r="P1" s="5" t="str">
        <f>IFERROR(__xludf.DUMMYFUNCTION("""COMPUTED_VALUE"""),"['keeper', 'best', 'goalkeep', 'defend', 'EXCLUDED-kepa', 'save']")</f>
        <v>['keeper', 'best', 'goalkeep', 'defend', 'EXCLUDED-kepa', 'save']</v>
      </c>
    </row>
    <row r="2">
      <c r="A2" s="14" t="s">
        <v>31</v>
      </c>
      <c r="B2" s="15" t="s">
        <v>339</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3</v>
      </c>
      <c r="G3" s="22">
        <f t="shared" ref="G3:G7" si="2">F3/SUM(F$3:F$7)</f>
        <v>0.1304347826</v>
      </c>
      <c r="H3" s="20" t="s">
        <v>14</v>
      </c>
      <c r="I3" s="21">
        <f t="shared" ref="I3:I7" si="3">COUNTIF(J$10:J1007,H3)</f>
        <v>1</v>
      </c>
      <c r="J3" s="22">
        <f t="shared" ref="J3:J7" si="4">I3/SUM(I$3:I$7)</f>
        <v>0.05555555556</v>
      </c>
      <c r="K3" s="20" t="s">
        <v>14</v>
      </c>
      <c r="L3" s="21">
        <f t="shared" ref="L3:L7" si="5">COUNTIF(M$10:M1007,K3)</f>
        <v>2</v>
      </c>
      <c r="M3" s="22">
        <f t="shared" ref="M3:M7" si="6">L3/SUM(L$3:L$7)</f>
        <v>0.1333333333</v>
      </c>
      <c r="N3" s="20" t="s">
        <v>14</v>
      </c>
      <c r="O3" s="21">
        <f t="shared" ref="O3:O7" si="7">COUNTIF(P$10:P1007,N3)</f>
        <v>0</v>
      </c>
      <c r="P3" s="22">
        <f t="shared" ref="P3:P7" si="8">O3/SUM(O$3:O$7)</f>
        <v>0</v>
      </c>
      <c r="Q3" s="20" t="s">
        <v>14</v>
      </c>
      <c r="R3" s="21">
        <f t="shared" ref="R3:R7" si="9">COUNTIF(S$10:S1007,Q3)</f>
        <v>0</v>
      </c>
      <c r="S3" s="22">
        <f t="shared" ref="S3:S7" si="10">R3/SUM(R$3:R$7)</f>
        <v>0</v>
      </c>
      <c r="T3" s="20" t="s">
        <v>14</v>
      </c>
      <c r="U3" s="21">
        <f t="shared" ref="U3:U7" si="11">COUNTIF(V$10:V1007,T3)</f>
        <v>1</v>
      </c>
      <c r="V3" s="22">
        <f t="shared" ref="V3:V7" si="12">U3/SUM(U$3:U$7)</f>
        <v>0.1111111111</v>
      </c>
      <c r="W3" s="20" t="s">
        <v>14</v>
      </c>
      <c r="X3" s="21">
        <f t="shared" ref="X3:X7" si="13">COUNTIF(Y$10:Y1007,W3)</f>
        <v>0</v>
      </c>
      <c r="Y3" s="22">
        <f t="shared" ref="Y3:Y7" si="14">X3/SUM(X$3:X$7)</f>
        <v>0</v>
      </c>
      <c r="Z3" s="20" t="s">
        <v>14</v>
      </c>
      <c r="AA3" s="21">
        <f t="shared" ref="AA3:AA7" si="15">COUNTIF(AB$10:AB1007,Z3)</f>
        <v>0</v>
      </c>
      <c r="AB3" s="22">
        <f t="shared" ref="AB3:AB7" si="16">AA3/SUM(AA$3:AA$7)</f>
        <v>0</v>
      </c>
      <c r="AC3" s="20" t="s">
        <v>14</v>
      </c>
      <c r="AD3" s="21">
        <f t="shared" ref="AD3:AD7" si="17">COUNTIF(AE$10:AE1007,AC3)</f>
        <v>1</v>
      </c>
      <c r="AE3" s="22">
        <f t="shared" ref="AE3:AE7" si="18">AD3/SUM(AD$3:AD$7)</f>
        <v>0.1428571429</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3</v>
      </c>
      <c r="G4" s="22">
        <f t="shared" si="2"/>
        <v>0.1304347826</v>
      </c>
      <c r="H4" s="20" t="s">
        <v>15</v>
      </c>
      <c r="I4" s="21">
        <f t="shared" si="3"/>
        <v>0</v>
      </c>
      <c r="J4" s="22">
        <f t="shared" si="4"/>
        <v>0</v>
      </c>
      <c r="K4" s="20" t="s">
        <v>15</v>
      </c>
      <c r="L4" s="21">
        <f t="shared" si="5"/>
        <v>0</v>
      </c>
      <c r="M4" s="22">
        <f t="shared" si="6"/>
        <v>0</v>
      </c>
      <c r="N4" s="20" t="s">
        <v>15</v>
      </c>
      <c r="O4" s="21">
        <f t="shared" si="7"/>
        <v>1</v>
      </c>
      <c r="P4" s="22">
        <f t="shared" si="8"/>
        <v>0.08333333333</v>
      </c>
      <c r="Q4" s="20" t="s">
        <v>15</v>
      </c>
      <c r="R4" s="21">
        <f t="shared" si="9"/>
        <v>3</v>
      </c>
      <c r="S4" s="22">
        <f t="shared" si="10"/>
        <v>0.15</v>
      </c>
      <c r="T4" s="20" t="s">
        <v>15</v>
      </c>
      <c r="U4" s="21">
        <f t="shared" si="11"/>
        <v>1</v>
      </c>
      <c r="V4" s="22">
        <f t="shared" si="12"/>
        <v>0.1111111111</v>
      </c>
      <c r="W4" s="20" t="s">
        <v>15</v>
      </c>
      <c r="X4" s="21">
        <f t="shared" si="13"/>
        <v>0</v>
      </c>
      <c r="Y4" s="22">
        <f t="shared" si="14"/>
        <v>0</v>
      </c>
      <c r="Z4" s="20" t="s">
        <v>15</v>
      </c>
      <c r="AA4" s="21">
        <f t="shared" si="15"/>
        <v>1</v>
      </c>
      <c r="AB4" s="22">
        <f t="shared" si="16"/>
        <v>0.1428571429</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5</v>
      </c>
      <c r="G5" s="22">
        <f t="shared" si="2"/>
        <v>0.2173913043</v>
      </c>
      <c r="H5" s="20" t="s">
        <v>16</v>
      </c>
      <c r="I5" s="21">
        <f t="shared" si="3"/>
        <v>3</v>
      </c>
      <c r="J5" s="22">
        <f t="shared" si="4"/>
        <v>0.1666666667</v>
      </c>
      <c r="K5" s="20" t="s">
        <v>16</v>
      </c>
      <c r="L5" s="21">
        <f t="shared" si="5"/>
        <v>3</v>
      </c>
      <c r="M5" s="22">
        <f t="shared" si="6"/>
        <v>0.2</v>
      </c>
      <c r="N5" s="20" t="s">
        <v>16</v>
      </c>
      <c r="O5" s="21">
        <f t="shared" si="7"/>
        <v>2</v>
      </c>
      <c r="P5" s="22">
        <f t="shared" si="8"/>
        <v>0.1666666667</v>
      </c>
      <c r="Q5" s="20" t="s">
        <v>16</v>
      </c>
      <c r="R5" s="21">
        <f t="shared" si="9"/>
        <v>0</v>
      </c>
      <c r="S5" s="22">
        <f t="shared" si="10"/>
        <v>0</v>
      </c>
      <c r="T5" s="20" t="s">
        <v>16</v>
      </c>
      <c r="U5" s="21">
        <f t="shared" si="11"/>
        <v>0</v>
      </c>
      <c r="V5" s="22">
        <f t="shared" si="12"/>
        <v>0</v>
      </c>
      <c r="W5" s="20" t="s">
        <v>16</v>
      </c>
      <c r="X5" s="21">
        <f t="shared" si="13"/>
        <v>0</v>
      </c>
      <c r="Y5" s="22">
        <f t="shared" si="14"/>
        <v>0</v>
      </c>
      <c r="Z5" s="20" t="s">
        <v>16</v>
      </c>
      <c r="AA5" s="21">
        <f t="shared" si="15"/>
        <v>1</v>
      </c>
      <c r="AB5" s="22">
        <f t="shared" si="16"/>
        <v>0.1428571429</v>
      </c>
      <c r="AC5" s="20" t="s">
        <v>16</v>
      </c>
      <c r="AD5" s="21">
        <f t="shared" si="17"/>
        <v>1</v>
      </c>
      <c r="AE5" s="22">
        <f t="shared" si="18"/>
        <v>0.1428571429</v>
      </c>
      <c r="AF5" s="20" t="s">
        <v>16</v>
      </c>
      <c r="AG5" s="21">
        <f t="shared" si="19"/>
        <v>2</v>
      </c>
      <c r="AH5" s="22">
        <f t="shared" si="20"/>
        <v>0.5</v>
      </c>
      <c r="AI5" s="20" t="s">
        <v>16</v>
      </c>
      <c r="AJ5" s="21">
        <f t="shared" si="21"/>
        <v>0</v>
      </c>
      <c r="AK5" s="22">
        <f t="shared" si="22"/>
        <v>0</v>
      </c>
      <c r="AL5" s="20" t="s">
        <v>16</v>
      </c>
      <c r="AM5" s="21">
        <f t="shared" si="23"/>
        <v>0</v>
      </c>
      <c r="AN5" s="22" t="str">
        <f t="shared" si="24"/>
        <v>#DIV/0!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5</v>
      </c>
      <c r="G6" s="22">
        <f t="shared" si="2"/>
        <v>0.2173913043</v>
      </c>
      <c r="H6" s="20" t="s">
        <v>17</v>
      </c>
      <c r="I6" s="21">
        <f t="shared" si="3"/>
        <v>6</v>
      </c>
      <c r="J6" s="22">
        <f t="shared" si="4"/>
        <v>0.3333333333</v>
      </c>
      <c r="K6" s="20" t="s">
        <v>17</v>
      </c>
      <c r="L6" s="21">
        <f t="shared" si="5"/>
        <v>4</v>
      </c>
      <c r="M6" s="22">
        <f t="shared" si="6"/>
        <v>0.2666666667</v>
      </c>
      <c r="N6" s="20" t="s">
        <v>17</v>
      </c>
      <c r="O6" s="21">
        <f t="shared" si="7"/>
        <v>5</v>
      </c>
      <c r="P6" s="22">
        <f t="shared" si="8"/>
        <v>0.4166666667</v>
      </c>
      <c r="Q6" s="20" t="s">
        <v>17</v>
      </c>
      <c r="R6" s="21">
        <f t="shared" si="9"/>
        <v>5</v>
      </c>
      <c r="S6" s="22">
        <f t="shared" si="10"/>
        <v>0.25</v>
      </c>
      <c r="T6" s="20" t="s">
        <v>17</v>
      </c>
      <c r="U6" s="21">
        <f t="shared" si="11"/>
        <v>3</v>
      </c>
      <c r="V6" s="22">
        <f t="shared" si="12"/>
        <v>0.3333333333</v>
      </c>
      <c r="W6" s="20" t="s">
        <v>17</v>
      </c>
      <c r="X6" s="21">
        <f t="shared" si="13"/>
        <v>2</v>
      </c>
      <c r="Y6" s="22">
        <f t="shared" si="14"/>
        <v>0.6666666667</v>
      </c>
      <c r="Z6" s="20" t="s">
        <v>17</v>
      </c>
      <c r="AA6" s="21">
        <f t="shared" si="15"/>
        <v>3</v>
      </c>
      <c r="AB6" s="22">
        <f t="shared" si="16"/>
        <v>0.4285714286</v>
      </c>
      <c r="AC6" s="20" t="s">
        <v>17</v>
      </c>
      <c r="AD6" s="21">
        <f t="shared" si="17"/>
        <v>2</v>
      </c>
      <c r="AE6" s="22">
        <f t="shared" si="18"/>
        <v>0.2857142857</v>
      </c>
      <c r="AF6" s="20" t="s">
        <v>17</v>
      </c>
      <c r="AG6" s="21">
        <f t="shared" si="19"/>
        <v>1</v>
      </c>
      <c r="AH6" s="22">
        <f t="shared" si="20"/>
        <v>0.25</v>
      </c>
      <c r="AI6" s="20" t="s">
        <v>17</v>
      </c>
      <c r="AJ6" s="21">
        <f t="shared" si="21"/>
        <v>3</v>
      </c>
      <c r="AK6" s="22">
        <f t="shared" si="22"/>
        <v>0.6</v>
      </c>
      <c r="AL6" s="20" t="s">
        <v>17</v>
      </c>
      <c r="AM6" s="21">
        <f t="shared" si="23"/>
        <v>0</v>
      </c>
      <c r="AN6" s="22" t="str">
        <f t="shared" si="24"/>
        <v>#DIV/0!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7</v>
      </c>
      <c r="G7" s="22">
        <f t="shared" si="2"/>
        <v>0.3043478261</v>
      </c>
      <c r="H7" s="20" t="s">
        <v>18</v>
      </c>
      <c r="I7" s="21">
        <f t="shared" si="3"/>
        <v>8</v>
      </c>
      <c r="J7" s="22">
        <f t="shared" si="4"/>
        <v>0.4444444444</v>
      </c>
      <c r="K7" s="20" t="s">
        <v>18</v>
      </c>
      <c r="L7" s="21">
        <f t="shared" si="5"/>
        <v>6</v>
      </c>
      <c r="M7" s="22">
        <f t="shared" si="6"/>
        <v>0.4</v>
      </c>
      <c r="N7" s="20" t="s">
        <v>18</v>
      </c>
      <c r="O7" s="21">
        <f t="shared" si="7"/>
        <v>4</v>
      </c>
      <c r="P7" s="22">
        <f t="shared" si="8"/>
        <v>0.3333333333</v>
      </c>
      <c r="Q7" s="20" t="s">
        <v>18</v>
      </c>
      <c r="R7" s="21">
        <f t="shared" si="9"/>
        <v>12</v>
      </c>
      <c r="S7" s="22">
        <f t="shared" si="10"/>
        <v>0.6</v>
      </c>
      <c r="T7" s="20" t="s">
        <v>18</v>
      </c>
      <c r="U7" s="21">
        <f t="shared" si="11"/>
        <v>4</v>
      </c>
      <c r="V7" s="22">
        <f t="shared" si="12"/>
        <v>0.4444444444</v>
      </c>
      <c r="W7" s="20" t="s">
        <v>18</v>
      </c>
      <c r="X7" s="21">
        <f t="shared" si="13"/>
        <v>1</v>
      </c>
      <c r="Y7" s="22">
        <f t="shared" si="14"/>
        <v>0.3333333333</v>
      </c>
      <c r="Z7" s="20" t="s">
        <v>18</v>
      </c>
      <c r="AA7" s="21">
        <f t="shared" si="15"/>
        <v>2</v>
      </c>
      <c r="AB7" s="22">
        <f t="shared" si="16"/>
        <v>0.2857142857</v>
      </c>
      <c r="AC7" s="20" t="s">
        <v>18</v>
      </c>
      <c r="AD7" s="21">
        <f t="shared" si="17"/>
        <v>3</v>
      </c>
      <c r="AE7" s="22">
        <f t="shared" si="18"/>
        <v>0.4285714286</v>
      </c>
      <c r="AF7" s="20" t="s">
        <v>18</v>
      </c>
      <c r="AG7" s="21">
        <f t="shared" si="19"/>
        <v>1</v>
      </c>
      <c r="AH7" s="22">
        <f t="shared" si="20"/>
        <v>0.25</v>
      </c>
      <c r="AI7" s="20" t="s">
        <v>18</v>
      </c>
      <c r="AJ7" s="21">
        <f t="shared" si="21"/>
        <v>2</v>
      </c>
      <c r="AK7" s="22">
        <f t="shared" si="22"/>
        <v>0.4</v>
      </c>
      <c r="AL7" s="20" t="s">
        <v>18</v>
      </c>
      <c r="AM7" s="21">
        <f t="shared" si="23"/>
        <v>0</v>
      </c>
      <c r="AN7" s="22" t="str">
        <f t="shared" si="24"/>
        <v>#DIV/0!</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23</v>
      </c>
      <c r="G8" s="25">
        <f>SUM(G6:G7)</f>
        <v>0.5217391304</v>
      </c>
      <c r="H8" s="24" t="s">
        <v>13</v>
      </c>
      <c r="I8" s="5">
        <f>SUM(I3:I7)</f>
        <v>18</v>
      </c>
      <c r="J8" s="25">
        <f>SUM(J6:J7)</f>
        <v>0.7777777778</v>
      </c>
      <c r="K8" s="24" t="s">
        <v>13</v>
      </c>
      <c r="L8" s="5">
        <f>SUM(L3:L7)</f>
        <v>15</v>
      </c>
      <c r="M8" s="25">
        <f>SUM(M6:M7)</f>
        <v>0.6666666667</v>
      </c>
      <c r="N8" s="24" t="s">
        <v>13</v>
      </c>
      <c r="O8" s="5">
        <f>SUM(O3:O7)</f>
        <v>12</v>
      </c>
      <c r="P8" s="25">
        <f>SUM(P6:P7)</f>
        <v>0.75</v>
      </c>
      <c r="Q8" s="24" t="s">
        <v>13</v>
      </c>
      <c r="R8" s="5">
        <f>SUM(R3:R7)</f>
        <v>20</v>
      </c>
      <c r="S8" s="25">
        <f>SUM(S6:S7)</f>
        <v>0.85</v>
      </c>
      <c r="T8" s="24" t="s">
        <v>13</v>
      </c>
      <c r="U8" s="5">
        <f>SUM(U3:U7)</f>
        <v>9</v>
      </c>
      <c r="V8" s="25">
        <f>SUM(V6:V7)</f>
        <v>0.7777777778</v>
      </c>
      <c r="W8" s="24" t="s">
        <v>13</v>
      </c>
      <c r="X8" s="5">
        <f>SUM(X3:X7)</f>
        <v>3</v>
      </c>
      <c r="Y8" s="25">
        <f>SUM(Y6:Y7)</f>
        <v>1</v>
      </c>
      <c r="Z8" s="24" t="s">
        <v>13</v>
      </c>
      <c r="AA8" s="5">
        <f>SUM(AA3:AA7)</f>
        <v>7</v>
      </c>
      <c r="AB8" s="25">
        <f>SUM(AB6:AB7)</f>
        <v>0.7142857143</v>
      </c>
      <c r="AC8" s="24" t="s">
        <v>13</v>
      </c>
      <c r="AD8" s="5">
        <f>SUM(AD3:AD7)</f>
        <v>7</v>
      </c>
      <c r="AE8" s="25">
        <f>SUM(AE6:AE7)</f>
        <v>0.7142857143</v>
      </c>
      <c r="AF8" s="24" t="s">
        <v>13</v>
      </c>
      <c r="AG8" s="5">
        <f>SUM(AG3:AG7)</f>
        <v>4</v>
      </c>
      <c r="AH8" s="25">
        <f>SUM(AH6:AH7)</f>
        <v>0.5</v>
      </c>
      <c r="AI8" s="24" t="s">
        <v>13</v>
      </c>
      <c r="AJ8" s="5">
        <f>SUM(AJ3:AJ7)</f>
        <v>5</v>
      </c>
      <c r="AK8" s="25">
        <f>SUM(AK6:AK7)</f>
        <v>1</v>
      </c>
      <c r="AL8" s="24" t="s">
        <v>13</v>
      </c>
      <c r="AM8" s="5">
        <f>SUM(AM3:AM7)</f>
        <v>0</v>
      </c>
      <c r="AN8" s="25" t="str">
        <f>SUM(AN6:AN7)</f>
        <v>#DIV/0!</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['champion', 'final', 'leagu', 'footbal', 'win']</v>
      </c>
      <c r="F9" s="28"/>
      <c r="G9" s="29"/>
      <c r="H9" s="27" t="str">
        <f>IF((COLUMN(H9) - 2)/3 = INT((COLUMN(H9) - 2)/3), INDIRECT("R1C"&amp;CEILING(4 + COLUMN(H9)/3,1), FALSE), "")</f>
        <v>['take', 'knee', 'player']</v>
      </c>
      <c r="I9" s="28"/>
      <c r="J9" s="29"/>
      <c r="K9" s="27" t="str">
        <f>IF((COLUMN(K9) - 2)/3 = INT((COLUMN(K9) - 2)/3), INDIRECT("R1C"&amp;CEILING(4 + COLUMN(K9)/3,1), FALSE), "")</f>
        <v>['goal', 'score', 'conced', 'equalis', 'offsid', 'assist']</v>
      </c>
      <c r="L9" s="28"/>
      <c r="M9" s="29"/>
      <c r="N9" s="27" t="str">
        <f>IF((COLUMN(N9) - 2)/3 = INT((COLUMN(N9) - 2)/3), INDIRECT("R1C"&amp;CEILING(4 + COLUMN(N9)/3,1), FALSE), "")</f>
        <v>['need', 'half', 'sub', 'second', 'lead', '2nd']</v>
      </c>
      <c r="O9" s="28"/>
      <c r="P9" s="29"/>
      <c r="Q9" s="27" t="str">
        <f>IF((COLUMN(Q9) - 2)/3 = INT((COLUMN(Q9) - 2)/3), INDIRECT("R1C"&amp;CEILING(4 + COLUMN(Q9)/3,1), FALSE), "")</f>
        <v>['touch', 'cross', 'ball', 'pass']</v>
      </c>
      <c r="R9" s="28"/>
      <c r="S9" s="29"/>
      <c r="T9" s="27" t="str">
        <f>IF((COLUMN(T9) - 2)/3 = INT((COLUMN(T9) - 2)/3), INDIRECT("R1C"&amp;CEILING(4 + COLUMN(T9)/3,1), FALSE), "")</f>
        <v>['foul', 'refere', 'book', 'decis', 'var', 'given', 'pen', 'dive', 'ref', 'penalti']</v>
      </c>
      <c r="U9" s="28"/>
      <c r="V9" s="29"/>
      <c r="W9" s="27" t="str">
        <f>IF((COLUMN(W9) - 2)/3 = INT((COLUMN(W9) - 2)/3), INDIRECT("R1C"&amp;CEILING(4 + COLUMN(W9)/3,1), FALSE), "")</f>
        <v>['tackl', 'dribbl', 'yellow', 'red', 'card']</v>
      </c>
      <c r="X9" s="28"/>
      <c r="Y9" s="29"/>
      <c r="Z9" s="27" t="str">
        <f>IF((COLUMN(Z9) - 2)/3 = INT((COLUMN(Z9) - 2)/3), INDIRECT("R1C"&amp;CEILING(4 + COLUMN(Z9)/3,1), FALSE), "")</f>
        <v>['gol', 'stream', 'onlin', 'free', 'reddit', 'link', 'EXCLUDED-manchest', 'ff', 'live']</v>
      </c>
      <c r="AA9" s="28"/>
      <c r="AB9" s="29"/>
      <c r="AC9" s="27" t="str">
        <f>IF((COLUMN(AC9) - 2)/3 = INT((COLUMN(AC9) - 2)/3), INDIRECT("R1C"&amp;CEILING(4 + COLUMN(AC9)/3,1), FALSE), "")</f>
        <v>['deflect', 'kick', 'corner', 'shot', 'net']</v>
      </c>
      <c r="AD9" s="28"/>
      <c r="AE9" s="29"/>
      <c r="AF9" s="27" t="str">
        <f>IF((COLUMN(AF9) - 2)/3 = INT((COLUMN(AF9) - 2)/3), INDIRECT("R1C"&amp;CEILING(4 + COLUMN(AF9)/3,1), FALSE), "")</f>
        <v>['world', 'class', 'striker']</v>
      </c>
      <c r="AG9" s="28"/>
      <c r="AH9" s="29"/>
      <c r="AI9" s="27" t="str">
        <f>IF((COLUMN(AI9) - 2)/3 = INT((COLUMN(AI9) - 2)/3), INDIRECT("R1C"&amp;CEILING(4 + COLUMN(AI9)/3,1), FALSE), "")</f>
        <v>['keeper', 'best', 'goalkeep', 'defend', 'EXCLUDED-kepa', 'save']</v>
      </c>
      <c r="AJ9" s="28"/>
      <c r="AK9" s="29"/>
      <c r="AL9" s="27" t="str">
        <f>IF((COLUMN(AL9) - 2)/3 = INT((COLUMN(AL9) - 2)/3), INDIRECT("R1C"&amp;CEILING(4 + COLUMN(AL9)/3,1), FALSE), "")</f>
        <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NOT(ISERROR($E3:DF3))))"),8.0)</f>
        <v>8</v>
      </c>
      <c r="D10" s="26">
        <f t="shared" ref="D10:D14" si="63">$C10/$C$15</f>
        <v>0.06504065041</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NOT(ISERROR($E4:DF4))))"),9.0)</f>
        <v>9</v>
      </c>
      <c r="D11" s="26">
        <f t="shared" si="63"/>
        <v>0.07317073171</v>
      </c>
      <c r="E11" s="40">
        <f>IFERROR(__xludf.DUMMYFUNCTION("""COMPUTED_VALUE"""),44359.53563657407)</f>
        <v>44359.53564</v>
      </c>
      <c r="F11" s="5" t="str">
        <f>IFERROR(__xludf.DUMMYFUNCTION("""COMPUTED_VALUE"""),"Italy was very good in yesterday’s game, I think that they will win the euros… EURO 2020. 28 matches unbeaten. Eased to a 3-0 win on the opening day of EURO 2020. #ITA are all business.. Wales to win 2-1 Bale to score. Game 2 of the EURO 2020 I’m hoping f"&amp;"or a Wales win #WALSUI.")</f>
        <v>Italy was very good in yesterday’s game, I think that they will win the euros… EURO 2020. 28 matches unbeaten. Eased to a 3-0 win on the opening day of EURO 2020. #ITA are all business.. Wales to win 2-1 Bale to score. Game 2 of the EURO 2020 I’m hoping for a Wales win #WALSUI.</v>
      </c>
      <c r="G11" s="5"/>
      <c r="H11" s="40">
        <f>IFERROR(__xludf.DUMMYFUNCTION("""COMPUTED_VALUE"""),44359.54133101852)</f>
        <v>44359.54133</v>
      </c>
      <c r="I11" s="5" t="str">
        <f>IFERROR(__xludf.DUMMYFUNCTION("""COMPUTED_VALUE"""),"The Rugby players do that anthem a lot more justice.. #Wal. #WALSUI 🏴󠁧󠁢󠁷󠁬󠁳󠁿. The #Wales anthem would sound a million times better if the players didn't sing it! Please make the players stand in order of height for the anthems EURO 2020.")</f>
        <v>The Rugby players do that anthem a lot more justice.. #Wal. #WALSUI 🏴󠁧󠁢󠁷󠁬󠁳󠁿. The #Wales anthem would sound a million times better if the players didn't sing it! Please make the players stand in order of height for the anthems EURO 2020.</v>
      </c>
      <c r="J11" s="5"/>
      <c r="K11" s="40">
        <f>IFERROR(__xludf.DUMMYFUNCTION("""COMPUTED_VALUE"""),44359.54255787037)</f>
        <v>44359.54256</v>
      </c>
      <c r="L11" s="5" t="str">
        <f>IFERROR(__xludf.DUMMYFUNCTION("""COMPUTED_VALUE"""),"Dan James to score a brace EURO 2020. Bale to score a brace today.")</f>
        <v>Dan James to score a brace EURO 2020. Bale to score a brace today.</v>
      </c>
      <c r="M11" s="39" t="s">
        <v>16</v>
      </c>
      <c r="N11" s="40">
        <f>IFERROR(__xludf.DUMMYFUNCTION("""COMPUTED_VALUE"""),44359.54269675926)</f>
        <v>44359.5427</v>
      </c>
      <c r="O11" s="5" t="str">
        <f>IFERROR(__xludf.DUMMYFUNCTION("""COMPUTED_VALUE"""),"Time for the 2nd game of EURO 2020.")</f>
        <v>Time for the 2nd game of EURO 2020.</v>
      </c>
      <c r="P11" s="39" t="s">
        <v>18</v>
      </c>
      <c r="Q11" s="40">
        <f>IFERROR(__xludf.DUMMYFUNCTION("""COMPUTED_VALUE"""),44359.55405092593)</f>
        <v>44359.55405</v>
      </c>
      <c r="R11" s="5" t="str">
        <f>IFERROR(__xludf.DUMMYFUNCTION("""COMPUTED_VALUE"""),"Great cross from Dan James! EURO 2020. What a cross from James and what a save from Sommer. #WALSUI. Fantastic cross from daniel james. Daniel James bro 😭😭😭😭👶🏽💪🏾 the run, the cross. That was a peach of a cross from Dan James btw. Doesn’t do that o"&amp;"ften enough for United. 🤔 #WAL.")</f>
        <v>Great cross from Dan James! EURO 2020. What a cross from James and what a save from Sommer. #WALSUI. Fantastic cross from daniel james. Daniel James bro 😭😭😭😭👶🏽💪🏾 the run, the cross. That was a peach of a cross from Dan James btw. Doesn’t do that often enough for United. 🤔 #WAL.</v>
      </c>
      <c r="S11" s="39" t="s">
        <v>18</v>
      </c>
      <c r="T11" s="40">
        <f>IFERROR(__xludf.DUMMYFUNCTION("""COMPUTED_VALUE"""),44359.56425925926)</f>
        <v>44359.56426</v>
      </c>
      <c r="U11" s="5" t="str">
        <f>IFERROR(__xludf.DUMMYFUNCTION("""COMPUTED_VALUE"""),"Foul! #WALSUI EURO 2020. What a prick, what a run from James, that foul was so harsh #WALSWI #WAL. That was an appalling foul by #Schär. Professional. EURO 2020. Cynical foul that 😬 #WALSUI. The cynicism from Schar for his foul on Dan James is just glori"&amp;"ous 🤣 EURO 2020.")</f>
        <v>Foul! #WALSUI EURO 2020. What a prick, what a run from James, that foul was so harsh #WALSWI #WAL. That was an appalling foul by #Schär. Professional. EURO 2020. Cynical foul that 😬 #WALSUI. The cynicism from Schar for his foul on Dan James is just glorious 🤣 EURO 2020.</v>
      </c>
      <c r="V11" s="39" t="s">
        <v>18</v>
      </c>
      <c r="W11" s="40">
        <f>IFERROR(__xludf.DUMMYFUNCTION("""COMPUTED_VALUE"""),44359.56450231481)</f>
        <v>44359.5645</v>
      </c>
      <c r="X11" s="5" t="str">
        <f>IFERROR(__xludf.DUMMYFUNCTION("""COMPUTED_VALUE"""),"Clear red card foul on Dan James there, ref gives a yellow. #WAL EURO 2020. He just took out our man 🤬🏴󠁧󠁢󠁷󠁬󠁳󠁿 #WAL yellow card surely Euro 2021. Red card for me day #WALSUI. That's a professional foul. Yellow card well deserved. #WALSUI.")</f>
        <v>Clear red card foul on Dan James there, ref gives a yellow. #WAL EURO 2020. He just took out our man 🤬🏴󠁧󠁢󠁷󠁬󠁳󠁿 #WAL yellow card surely Euro 2021. Red card for me day #WALSUI. That's a professional foul. Yellow card well deserved. #WALSUI.</v>
      </c>
      <c r="Y11" s="39" t="s">
        <v>18</v>
      </c>
      <c r="Z11" s="40">
        <f>IFERROR(__xludf.DUMMYFUNCTION("""COMPUTED_VALUE"""),44359.564513888894)</f>
        <v>44359.56451</v>
      </c>
      <c r="AA11" s="5" t="str">
        <f>IFERROR(__xludf.DUMMYFUNCTION("""COMPUTED_VALUE"""),"Daniel James is free from our shackles he’s cooking. Bit of a weird tactical foul in Bale free kick range tbh. Free kick from Bale now 😍. Great run from Daniel James there, gives his defenders a rest and wins a free kick in a great position for Wales.")</f>
        <v>Daniel James is free from our shackles he’s cooking. Bit of a weird tactical foul in Bale free kick range tbh. Free kick from Bale now 😍. Great run from Daniel James there, gives his defenders a rest and wins a free kick in a great position for Wales.</v>
      </c>
      <c r="AB11" s="39" t="s">
        <v>18</v>
      </c>
      <c r="AC11" s="40">
        <f>IFERROR(__xludf.DUMMYFUNCTION("""COMPUTED_VALUE"""),44359.56458333333)</f>
        <v>44359.56458</v>
      </c>
      <c r="AD11" s="5" t="str">
        <f>IFERROR(__xludf.DUMMYFUNCTION("""COMPUTED_VALUE"""),"Bit of a weird tactical foul in Bale free kick range tbh. Free kick from Bale now 😍. Great run from Daniel James there, gives his defenders a rest and wins a free kick in a great position for Wales. Why is Bale taking this free kick from Dan stop it.")</f>
        <v>Bit of a weird tactical foul in Bale free kick range tbh. Free kick from Bale now 😍. Great run from Daniel James there, gives his defenders a rest and wins a free kick in a great position for Wales. Why is Bale taking this free kick from Dan stop it.</v>
      </c>
      <c r="AE11" s="39" t="s">
        <v>18</v>
      </c>
      <c r="AF11" s="40">
        <f>IFERROR(__xludf.DUMMYFUNCTION("""COMPUTED_VALUE"""),44359.57528935185)</f>
        <v>44359.57529</v>
      </c>
      <c r="AG11" s="5" t="str">
        <f>IFERROR(__xludf.DUMMYFUNCTION("""COMPUTED_VALUE"""),"Seferovic is the worst striker of all time. Seferovic is having an absolute shocker. Terrible striker 😂😬. Seferovic ain't a serious striker man. The year is 2048 and Switzerland are still playing Seferovic up front because they STILL haven't got a good "&amp;"striker. #WALSUI EURO 2020.")</f>
        <v>Seferovic is the worst striker of all time. Seferovic is having an absolute shocker. Terrible striker 😂😬. Seferovic ain't a serious striker man. The year is 2048 and Switzerland are still playing Seferovic up front because they STILL haven't got a good striker. #WALSUI EURO 2020.</v>
      </c>
      <c r="AH11" s="39" t="s">
        <v>16</v>
      </c>
      <c r="AI11" s="40">
        <f>IFERROR(__xludf.DUMMYFUNCTION("""COMPUTED_VALUE"""),44359.58935185186)</f>
        <v>44359.58935</v>
      </c>
      <c r="AJ11" s="5" t="str">
        <f>IFERROR(__xludf.DUMMYFUNCTION("""COMPUTED_VALUE"""),"What a save embolo is causing problems. What a turn from embolo and save from ward. It’s a good save but Embolo has shot straight at him. I'm not being funny, but so far at EURO 2020 the saves are better than the goals. Danny Ward.. what a save that was f"&amp;"or #wal.")</f>
        <v>What a save embolo is causing problems. What a turn from embolo and save from ward. It’s a good save but Embolo has shot straight at him. I'm not being funny, but so far at EURO 2020 the saves are better than the goals. Danny Ward.. what a save that was for #wal.</v>
      </c>
      <c r="AK11" s="39" t="s">
        <v>18</v>
      </c>
      <c r="AL11" s="40"/>
      <c r="AM11" s="5"/>
      <c r="AN11" s="5"/>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NOT(ISERROR($E5:DF5))))"),17.0)</f>
        <v>17</v>
      </c>
      <c r="D12" s="26">
        <f t="shared" si="63"/>
        <v>0.1382113821</v>
      </c>
      <c r="E12" s="40">
        <f>IFERROR(__xludf.DUMMYFUNCTION("""COMPUTED_VALUE"""),44359.537777777776)</f>
        <v>44359.53778</v>
      </c>
      <c r="F12" s="5" t="str">
        <f>IFERROR(__xludf.DUMMYFUNCTION("""COMPUTED_VALUE"""),"Saturday with football!!!🤩🤩. EURO 2020. Not too bother who wins this. Just want Dan James to have a good game #WALSUI. Guaranteed win for switzerland if they play mbabu at CB. Gareth Bale - ridiculously good footballer, just ridiculous hair.")</f>
        <v>Saturday with football!!!🤩🤩. EURO 2020. Not too bother who wins this. Just want Dan James to have a good game #WALSUI. Guaranteed win for switzerland if they play mbabu at CB. Gareth Bale - ridiculously good footballer, just ridiculous hair.</v>
      </c>
      <c r="G12" s="5"/>
      <c r="H12" s="40">
        <f>IFERROR(__xludf.DUMMYFUNCTION("""COMPUTED_VALUE"""),44359.558969907404)</f>
        <v>44359.55897</v>
      </c>
      <c r="I12" s="5" t="str">
        <f>IFERROR(__xludf.DUMMYFUNCTION("""COMPUTED_VALUE"""),"Yannick makes his EURO 2020 debut today as Belgium take on Russia!. Ben Davies having a nightmare so far, nice to see him taking his Tottenham form into the euros. Switzerland and Wales both take the knee.. EURO 2020.")</f>
        <v>Yannick makes his EURO 2020 debut today as Belgium take on Russia!. Ben Davies having a nightmare so far, nice to see him taking his Tottenham form into the euros. Switzerland and Wales both take the knee.. EURO 2020.</v>
      </c>
      <c r="J12" s="39" t="s">
        <v>18</v>
      </c>
      <c r="K12" s="40">
        <f>IFERROR(__xludf.DUMMYFUNCTION("""COMPUTED_VALUE"""),44359.553819444445)</f>
        <v>44359.55382</v>
      </c>
      <c r="L12" s="5" t="str">
        <f>IFERROR(__xludf.DUMMYFUNCTION("""COMPUTED_VALUE"""),"Yann Sommer showing his class there. Saved a definite goal. Oof. What a save from Yann Sommer. Inches away from a first Wales goal. Moore should've scored for #WAL. Loving the set piece header attempts/goal saves.. Chiellini almost had one yesterday, now "&amp;"Moore.. EURO 2020.")</f>
        <v>Yann Sommer showing his class there. Saved a definite goal. Oof. What a save from Yann Sommer. Inches away from a first Wales goal. Moore should've scored for #WAL. Loving the set piece header attempts/goal saves.. Chiellini almost had one yesterday, now Moore.. EURO 2020.</v>
      </c>
      <c r="M12" s="39" t="s">
        <v>18</v>
      </c>
      <c r="N12" s="40">
        <f>IFERROR(__xludf.DUMMYFUNCTION("""COMPUTED_VALUE"""),44359.57291666667)</f>
        <v>44359.57292</v>
      </c>
      <c r="O12" s="5" t="str">
        <f>IFERROR(__xludf.DUMMYFUNCTION("""COMPUTED_VALUE"""),"#SUI should be leading atleast by a goal already. 42 minutes, 7 corners already? Ah! Please reserve some for Second half #WALSUI EURO 2020. ⏱️Turkey vs Italy in 60 Seconds⏱️. Euro 2020.")</f>
        <v>#SUI should be leading atleast by a goal already. 42 minutes, 7 corners already? Ah! Please reserve some for Second half #WALSUI EURO 2020. ⏱️Turkey vs Italy in 60 Seconds⏱️. Euro 2020.</v>
      </c>
      <c r="P12" s="39" t="s">
        <v>18</v>
      </c>
      <c r="Q12" s="40">
        <f>IFERROR(__xludf.DUMMYFUNCTION("""COMPUTED_VALUE"""),44359.558495370366)</f>
        <v>44359.5585</v>
      </c>
      <c r="R12" s="5" t="str">
        <f>IFERROR(__xludf.DUMMYFUNCTION("""COMPUTED_VALUE"""),"Does anyone else’s house have someone reacting every time Mbabu touches the ball, with “Ovavu”? Ben Davies giving the ball away....🙄 #wal. Has Bale had a touch? Our midfield looks fast asleep. They’re giving the ball away every time they touch the ball. "&amp;"We need to wake up!! #WAL.")</f>
        <v>Does anyone else’s house have someone reacting every time Mbabu touches the ball, with “Ovavu”? Ben Davies giving the ball away....🙄 #wal. Has Bale had a touch? Our midfield looks fast asleep. They’re giving the ball away every time they touch the ball. We need to wake up!! #WAL.</v>
      </c>
      <c r="S12" s="39" t="s">
        <v>15</v>
      </c>
      <c r="T12" s="40">
        <f>IFERROR(__xludf.DUMMYFUNCTION("""COMPUTED_VALUE"""),44359.575104166666)</f>
        <v>44359.5751</v>
      </c>
      <c r="U12" s="5" t="str">
        <f>IFERROR(__xludf.DUMMYFUNCTION("""COMPUTED_VALUE"""),"That has to be a penalty, just because he didn’t go down it’s not given #WALSUI. How is that not a Switzerland penalty? Clear foul on Embolo. If he had gone down it could have been clear penalty.. EURO 2020. No idea how that isn't a penalty on Embolo ther"&amp;"e.")</f>
        <v>That has to be a penalty, just because he didn’t go down it’s not given #WALSUI. How is that not a Switzerland penalty? Clear foul on Embolo. If he had gone down it could have been clear penalty.. EURO 2020. No idea how that isn't a penalty on Embolo there.</v>
      </c>
      <c r="V12" s="39" t="s">
        <v>18</v>
      </c>
      <c r="W12" s="40">
        <f>IFERROR(__xludf.DUMMYFUNCTION("""COMPUTED_VALUE"""),44359.58868055556)</f>
        <v>44359.58868</v>
      </c>
      <c r="X12" s="5" t="str">
        <f>IFERROR(__xludf.DUMMYFUNCTION("""COMPUTED_VALUE"""),"You giving a yellow for Kieffer Moore? Thats not a yellow card for Moore 🤣😭. Moore goes up with Schär and the ex-Wiganer rightly gets a yellow card. 0-0 (48) How is that a yellow for Kieffer?! #WAL EURO 2020. Yellow card for that? Game has gone #WALSUI.")</f>
        <v>You giving a yellow for Kieffer Moore? Thats not a yellow card for Moore 🤣😭. Moore goes up with Schär and the ex-Wiganer rightly gets a yellow card. 0-0 (48) How is that a yellow for Kieffer?! #WAL EURO 2020. Yellow card for that? Game has gone #WALSUI.</v>
      </c>
      <c r="Y12" s="39" t="s">
        <v>17</v>
      </c>
      <c r="Z12" s="40">
        <f>IFERROR(__xludf.DUMMYFUNCTION("""COMPUTED_VALUE"""),44359.58951388889)</f>
        <v>44359.58951</v>
      </c>
      <c r="AA12" s="5" t="str">
        <f>IFERROR(__xludf.DUMMYFUNCTION("""COMPUTED_VALUE"""),"That embolo looks lively. EMBOLO IS A R9 REGEN FFS. Score this thing FFS, Embolo😪. That was so easy ffs #WALSUI. Shaqiri is a really good buy ffs i wish i chose him. Embolo is a beast ffs. Ffs. Roberts letting Embolo bully him. Ffs I knew I shoulda added"&amp;" embolo in my team.")</f>
        <v>That embolo looks lively. EMBOLO IS A R9 REGEN FFS. Score this thing FFS, Embolo😪. That was so easy ffs #WALSUI. Shaqiri is a really good buy ffs i wish i chose him. Embolo is a beast ffs. Ffs. Roberts letting Embolo bully him. Ffs I knew I shoulda added embolo in my team.</v>
      </c>
      <c r="AB12" s="39" t="s">
        <v>15</v>
      </c>
      <c r="AC12" s="40">
        <f>IFERROR(__xludf.DUMMYFUNCTION("""COMPUTED_VALUE"""),44359.589895833335)</f>
        <v>44359.5899</v>
      </c>
      <c r="AD12" s="5" t="str">
        <f>IFERROR(__xludf.DUMMYFUNCTION("""COMPUTED_VALUE"""),"Deserved goal. Great work from Embolo to get the corner in the first place. 1-0 Embolo. Been coming all day long from a corner. Embolo destroyed the defence to win the corner. Embolo scores the corner to give Switzerland the lead! #SUI.")</f>
        <v>Deserved goal. Great work from Embolo to get the corner in the first place. 1-0 Embolo. Been coming all day long from a corner. Embolo destroyed the defence to win the corner. Embolo scores the corner to give Switzerland the lead! #SUI.</v>
      </c>
      <c r="AE12" s="39" t="s">
        <v>17</v>
      </c>
      <c r="AF12" s="40">
        <f>IFERROR(__xludf.DUMMYFUNCTION("""COMPUTED_VALUE"""),44359.58978009259)</f>
        <v>44359.58978</v>
      </c>
      <c r="AG12" s="5" t="str">
        <f>IFERROR(__xludf.DUMMYFUNCTION("""COMPUTED_VALUE"""),"What a shot embolo, he love class. Embolo is class. Jesus Christ Embolo is class. Embolo been absolutely class. Goal now to top it off. Embolo 1-0! Class in the build up to the corner too, holding two off to get a shot away. EMBOLO WHAT A STRIKERRRR. Embo"&amp;"lo is pure class.")</f>
        <v>What a shot embolo, he love class. Embolo is class. Jesus Christ Embolo is class. Embolo been absolutely class. Goal now to top it off. Embolo 1-0! Class in the build up to the corner too, holding two off to get a shot away. EMBOLO WHAT A STRIKERRRR. Embolo is pure class.</v>
      </c>
      <c r="AH12" s="39" t="s">
        <v>17</v>
      </c>
      <c r="AI12" s="40">
        <f>IFERROR(__xludf.DUMMYFUNCTION("""COMPUTED_VALUE"""),44359.59040509259)</f>
        <v>44359.59041</v>
      </c>
      <c r="AJ12" s="5" t="str">
        <f>IFERROR(__xludf.DUMMYFUNCTION("""COMPUTED_VALUE"""),"48’ #Sui 1-0 #Wal. Embolo heads a corner home, very questionable defending. Awful defending from Roberts more focused on wrestling Embolo than doing his job and Embolo just doesn’t miss from there. Embolo has been bullying the welsh defenders all game and"&amp;" deserves that goal.")</f>
        <v>48’ #Sui 1-0 #Wal. Embolo heads a corner home, very questionable defending. Awful defending from Roberts more focused on wrestling Embolo than doing his job and Embolo just doesn’t miss from there. Embolo has been bullying the welsh defenders all game and deserves that goal.</v>
      </c>
      <c r="AK12" s="39" t="s">
        <v>17</v>
      </c>
      <c r="AL12" s="40"/>
      <c r="AM12" s="5"/>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NOT(ISERROR($E6:DF6))))"),39.0)</f>
        <v>39</v>
      </c>
      <c r="D13" s="26">
        <f t="shared" si="63"/>
        <v>0.3170731707</v>
      </c>
      <c r="E13" s="40">
        <f>IFERROR(__xludf.DUMMYFUNCTION("""COMPUTED_VALUE"""),44359.54011574074)</f>
        <v>44359.54012</v>
      </c>
      <c r="F13" s="5" t="str">
        <f>IFERROR(__xludf.DUMMYFUNCTION("""COMPUTED_VALUE"""),"Is this the easternmost European Championships finals fixture that's ever been played? #WALSUI. If they don't meet in the quarters and semis, I predict France v Italy in the EURO 2020 finals. This will be a 2-1 Switzerland win with Dan James, Shaqiri and "&amp;"Xhaka scoring.")</f>
        <v>Is this the easternmost European Championships finals fixture that's ever been played? #WALSUI. If they don't meet in the quarters and semis, I predict France v Italy in the EURO 2020 finals. This will be a 2-1 Switzerland win with Dan James, Shaqiri and Xhaka scoring.</v>
      </c>
      <c r="G13" s="5"/>
      <c r="H13" s="40">
        <f>IFERROR(__xludf.DUMMYFUNCTION("""COMPUTED_VALUE"""),44359.56215277778)</f>
        <v>44359.56215</v>
      </c>
      <c r="I13" s="5" t="str">
        <f>IFERROR(__xludf.DUMMYFUNCTION("""COMPUTED_VALUE"""),"Joe Rodon the best player on the pitch so far. If you would take the traits of Tito, Hitler, Mussolini Biden, you’d end up with Vladimir Petkovic. Aaron Ramsey's workrate is outstanding. Any chance to sign him, we should take it. Go 5 back and take Morrel"&amp;"l of for Cabango.")</f>
        <v>Joe Rodon the best player on the pitch so far. If you would take the traits of Tito, Hitler, Mussolini Biden, you’d end up with Vladimir Petkovic. Aaron Ramsey's workrate is outstanding. Any chance to sign him, we should take it. Go 5 back and take Morrell of for Cabango.</v>
      </c>
      <c r="J13" s="39" t="s">
        <v>18</v>
      </c>
      <c r="K13" s="40">
        <f>IFERROR(__xludf.DUMMYFUNCTION("""COMPUTED_VALUE"""),44359.55743055556)</f>
        <v>44359.55743</v>
      </c>
      <c r="L13" s="5" t="str">
        <f>IFERROR(__xludf.DUMMYFUNCTION("""COMPUTED_VALUE"""),"Great save by Chris Coleman in the Swiss goal EURO 2020 Wales Switzerland. Lovely flick by Schar…almost a great goal. EURO 2020. Schar nearly scored a great goal there EURO 2020 #NUFC. That would of been the goal of the tournament on Day 2 of Euros #SUI.")</f>
        <v>Great save by Chris Coleman in the Swiss goal EURO 2020 Wales Switzerland. Lovely flick by Schar…almost a great goal. EURO 2020. Schar nearly scored a great goal there EURO 2020 #NUFC. That would of been the goal of the tournament on Day 2 of Euros #SUI.</v>
      </c>
      <c r="M13" s="39" t="s">
        <v>18</v>
      </c>
      <c r="N13" s="40">
        <f>IFERROR(__xludf.DUMMYFUNCTION("""COMPUTED_VALUE"""),44359.574120370366)</f>
        <v>44359.57412</v>
      </c>
      <c r="O13" s="5" t="str">
        <f>IFERROR(__xludf.DUMMYFUNCTION("""COMPUTED_VALUE"""),"⏱️Turkey vs Italy in 60 Seconds⏱️. Euro 2020.")</f>
        <v>⏱️Turkey vs Italy in 60 Seconds⏱️. Euro 2020.</v>
      </c>
      <c r="P13" s="39" t="s">
        <v>15</v>
      </c>
      <c r="Q13" s="40">
        <f>IFERROR(__xludf.DUMMYFUNCTION("""COMPUTED_VALUE"""),44359.56371527778)</f>
        <v>44359.56372</v>
      </c>
      <c r="R13" s="5" t="str">
        <f>IFERROR(__xludf.DUMMYFUNCTION("""COMPUTED_VALUE"""),"The state of Shaqiri just make the pass mf. Xhaka is balling rn. When Xhaka passes to Shaquiri. Xhaka is balling. 5 years ago on a day like this I was eagerly watching every pass made by Granit Xhaka, our new midfield metronome. Xhaka balling. Xhaka long "&amp;"pass is so valuable man.")</f>
        <v>The state of Shaqiri just make the pass mf. Xhaka is balling rn. When Xhaka passes to Shaquiri. Xhaka is balling. 5 years ago on a day like this I was eagerly watching every pass made by Granit Xhaka, our new midfield metronome. Xhaka balling. Xhaka long pass is so valuable man.</v>
      </c>
      <c r="S13" s="39" t="s">
        <v>15</v>
      </c>
      <c r="T13" s="40">
        <f>IFERROR(__xludf.DUMMYFUNCTION("""COMPUTED_VALUE"""),44359.57943287037)</f>
        <v>44359.57943</v>
      </c>
      <c r="U13" s="5" t="str">
        <f>IFERROR(__xludf.DUMMYFUNCTION("""COMPUTED_VALUE"""),"If Embolo goes down there, that's a clear pen #WALSUI EURO 2020. If embolo goes down thats a penalty. If Embolo goes down at the end there that’s a pen , and that’s why players always go down. Fair play to Embolo. He goes down there and it’s a stone cold "&amp;"penalty. #Sui #Wal.")</f>
        <v>If Embolo goes down there, that's a clear pen #WALSUI EURO 2020. If embolo goes down thats a penalty. If Embolo goes down at the end there that’s a pen , and that’s why players always go down. Fair play to Embolo. He goes down there and it’s a stone cold penalty. #Sui #Wal.</v>
      </c>
      <c r="V13" s="39" t="s">
        <v>14</v>
      </c>
      <c r="W13" s="40">
        <f>IFERROR(__xludf.DUMMYFUNCTION("""COMPUTED_VALUE"""),44359.59958333333)</f>
        <v>44359.59958</v>
      </c>
      <c r="X13" s="5" t="str">
        <f>IFERROR(__xludf.DUMMYFUNCTION("""COMPUTED_VALUE"""),"If that is a yellow for Mbabu, football is dead. If that’s a yellow card on Mbabu then what are we doing here? Mbabu yellow 🥵 also wasn't a bad tackle refs shit. What a tackle from mbabu, how on earth is that a yellow? Dan james bodied as per.")</f>
        <v>If that is a yellow for Mbabu, football is dead. If that’s a yellow card on Mbabu then what are we doing here? Mbabu yellow 🥵 also wasn't a bad tackle refs shit. What a tackle from mbabu, how on earth is that a yellow? Dan james bodied as per.</v>
      </c>
      <c r="Y13" s="39" t="s">
        <v>17</v>
      </c>
      <c r="Z13" s="40">
        <f>IFERROR(__xludf.DUMMYFUNCTION("""COMPUTED_VALUE"""),44359.59077546296)</f>
        <v>44359.59078</v>
      </c>
      <c r="AA13" s="5" t="str">
        <f>IFERROR(__xludf.DUMMYFUNCTION("""COMPUTED_VALUE"""),"GOOOOOOOOOOOOOOLLLLL DE #SUI. GGGOOOOOOLLLLLLL/BBBBUUUUUTTTTTTTT/TORRRRRRRRRRRRRRRRRRR. #SUI EURO 2020. Al fin gol de #Sui !!")</f>
        <v>GOOOOOOOOOOOOOOLLLLL DE #SUI. GGGOOOOOOLLLLLLL/BBBBUUUUUTTTTTTTT/TORRRRRRRRRRRRRRRRRRR. #SUI EURO 2020. Al fin gol de #Sui !!</v>
      </c>
      <c r="AB13" s="39" t="s">
        <v>17</v>
      </c>
      <c r="AC13" s="40">
        <f>IFERROR(__xludf.DUMMYFUNCTION("""COMPUTED_VALUE"""),44359.59284722222)</f>
        <v>44359.59285</v>
      </c>
      <c r="AD13" s="5" t="str">
        <f>IFERROR(__xludf.DUMMYFUNCTION("""COMPUTED_VALUE"""),"Embolo’s the only one on this team that can make his own shot. Cross or shot 🧐 #WALSUI. But fifa want me believe mbabu could score a long shot. Bale shot on target please. Wales are awful, Bale Is shot to bits.")</f>
        <v>Embolo’s the only one on this team that can make his own shot. Cross or shot 🧐 #WALSUI. But fifa want me believe mbabu could score a long shot. Bale shot on target please. Wales are awful, Bale Is shot to bits.</v>
      </c>
      <c r="AE13" s="39" t="s">
        <v>16</v>
      </c>
      <c r="AF13" s="40">
        <f>IFERROR(__xludf.DUMMYFUNCTION("""COMPUTED_VALUE"""),44359.60712962963)</f>
        <v>44359.60713</v>
      </c>
      <c r="AG13" s="5" t="str">
        <f>IFERROR(__xludf.DUMMYFUNCTION("""COMPUTED_VALUE"""),"Moore is a class striker, would love Watford to sign him. This Moore striker is a monster in the air. That is class Keiffer Moore. Class header from Moore. What a header Kieffer Moore, no keeper in the world stops that 👏 #WALSUI. Was always gonna be kief"&amp;"fer moore, class header.")</f>
        <v>Moore is a class striker, would love Watford to sign him. This Moore striker is a monster in the air. That is class Keiffer Moore. Class header from Moore. What a header Kieffer Moore, no keeper in the world stops that 👏 #WALSUI. Was always gonna be kieffer moore, class header.</v>
      </c>
      <c r="AH13" s="39" t="s">
        <v>18</v>
      </c>
      <c r="AI13" s="40">
        <f>IFERROR(__xludf.DUMMYFUNCTION("""COMPUTED_VALUE"""),44359.607361111106)</f>
        <v>44359.60736</v>
      </c>
      <c r="AJ13" s="5" t="str">
        <f>IFERROR(__xludf.DUMMYFUNCTION("""COMPUTED_VALUE"""),"1-1 for Wales big goal that. Free header, what kind of defending is that for #SUI. What a header Kieffer Moore, no keeper in the world stops that 👏 #WALSUI. Great header from Moore, poor defending again from a corner to make it 1-1. Switzerland will be k"&amp;"icking themselves now.")</f>
        <v>1-1 for Wales big goal that. Free header, what kind of defending is that for #SUI. What a header Kieffer Moore, no keeper in the world stops that 👏 #WALSUI. Great header from Moore, poor defending again from a corner to make it 1-1. Switzerland will be kicking themselves now.</v>
      </c>
      <c r="AK13" s="39" t="s">
        <v>17</v>
      </c>
      <c r="AL13" s="40"/>
      <c r="AM13" s="5"/>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NOT(ISERROR($E7:DF7))))"),50.0)</f>
        <v>50</v>
      </c>
      <c r="D14" s="26">
        <f t="shared" si="63"/>
        <v>0.406504065</v>
      </c>
      <c r="E14" s="40">
        <f>IFERROR(__xludf.DUMMYFUNCTION("""COMPUTED_VALUE"""),44359.541226851856)</f>
        <v>44359.54123</v>
      </c>
      <c r="F14" s="5" t="str">
        <f>IFERROR(__xludf.DUMMYFUNCTION("""COMPUTED_VALUE"""),"Final preparations ahead of #WALSUI ✅ EURO 2020.")</f>
        <v>Final preparations ahead of #WALSUI ✅ EURO 2020.</v>
      </c>
      <c r="G14" s="5"/>
      <c r="H14" s="40">
        <f>IFERROR(__xludf.DUMMYFUNCTION("""COMPUTED_VALUE"""),44359.56409722222)</f>
        <v>44359.5641</v>
      </c>
      <c r="I14" s="5" t="str">
        <f>IFERROR(__xludf.DUMMYFUNCTION("""COMPUTED_VALUE"""),"Daniel James is the best player on the pitch. says a lot about this game😭😭. Daniel James for Wales is not the player for united he's so much better. Daniel james on the left is a different player. Daniel James is a superb wee player.")</f>
        <v>Daniel James is the best player on the pitch. says a lot about this game😭😭. Daniel James for Wales is not the player for united he's so much better. Daniel james on the left is a different player. Daniel James is a superb wee player.</v>
      </c>
      <c r="J14" s="39" t="s">
        <v>18</v>
      </c>
      <c r="K14" s="40">
        <f>IFERROR(__xludf.DUMMYFUNCTION("""COMPUTED_VALUE"""),44359.56061342593)</f>
        <v>44359.56061</v>
      </c>
      <c r="L14" s="5" t="str">
        <f>IFERROR(__xludf.DUMMYFUNCTION("""COMPUTED_VALUE"""),"Xhaka score that. Xhaka gonna score a golazo in this game. Granit Xhaka is always shooting without scoring. Fraud. Xhaka is scoring a screamer today i can feel it. Xhaka’s going to score a banger at some point #SUI. Granit Xhaka is in mood for a long rang"&amp;"e goal. EURO 2020.")</f>
        <v>Xhaka score that. Xhaka gonna score a golazo in this game. Granit Xhaka is always shooting without scoring. Fraud. Xhaka is scoring a screamer today i can feel it. Xhaka’s going to score a banger at some point #SUI. Granit Xhaka is in mood for a long range goal. EURO 2020.</v>
      </c>
      <c r="M14" s="39" t="s">
        <v>16</v>
      </c>
      <c r="N14" s="40">
        <f>IFERROR(__xludf.DUMMYFUNCTION("""COMPUTED_VALUE"""),44359.579317129625)</f>
        <v>44359.57932</v>
      </c>
      <c r="O14" s="5" t="str">
        <f>IFERROR(__xludf.DUMMYFUNCTION("""COMPUTED_VALUE"""),"Zuber and Gavranovic needed for Switzerland. Seferovic needs to decide if he wants to score or not. EURO 2020. Ramsey missing... needs to dye his hair blonde again. Not good enough.. need to get Ramsey on the ball. Come on Wales 🏴󠁧󠁢󠁷󠁬󠁳󠁿 we need a B"&amp;"IG second half 🙏🏼 #WAL.")</f>
        <v>Zuber and Gavranovic needed for Switzerland. Seferovic needs to decide if he wants to score or not. EURO 2020. Ramsey missing... needs to dye his hair blonde again. Not good enough.. need to get Ramsey on the ball. Come on Wales 🏴󠁧󠁢󠁷󠁬󠁳󠁿 we need a BIG second half 🙏🏼 #WAL.</v>
      </c>
      <c r="P14" s="39" t="s">
        <v>16</v>
      </c>
      <c r="Q14" s="40">
        <f>IFERROR(__xludf.DUMMYFUNCTION("""COMPUTED_VALUE"""),44359.56517361111)</f>
        <v>44359.56517</v>
      </c>
      <c r="R14" s="5" t="str">
        <f>IFERROR(__xludf.DUMMYFUNCTION("""COMPUTED_VALUE"""),"No players trying to attack that cross from Bale? DCL would’ve been all over that cross by Bale. Mepham has to get a head on that Bale cross #WALSUI. Bale crosses the ball sooo deliciously 🤤. They just watch that Bale nice cross like it was a shooting st"&amp;"ar.")</f>
        <v>No players trying to attack that cross from Bale? DCL would’ve been all over that cross by Bale. Mepham has to get a head on that Bale cross #WALSUI. Bale crosses the ball sooo deliciously 🤤. They just watch that Bale nice cross like it was a shooting star.</v>
      </c>
      <c r="S14" s="39" t="s">
        <v>18</v>
      </c>
      <c r="T14" s="40">
        <f>IFERROR(__xludf.DUMMYFUNCTION("""COMPUTED_VALUE"""),44359.58908564815)</f>
        <v>44359.58909</v>
      </c>
      <c r="U14" s="5" t="str">
        <f>IFERROR(__xludf.DUMMYFUNCTION("""COMPUTED_VALUE"""),"Moore booked for jumping. Kieffer Moore booked for being tall. So Moore's was a yellow by going in high on James wasn't? Good one ref. Never a yellow card there for Moore. Refs having a laugh #WALSUI EURO 2020. That's barely even a foul, let alone a yello"&amp;"w. #WALSUI EURO 2020.")</f>
        <v>Moore booked for jumping. Kieffer Moore booked for being tall. So Moore's was a yellow by going in high on James wasn't? Good one ref. Never a yellow card there for Moore. Refs having a laugh #WALSUI EURO 2020. That's barely even a foul, let alone a yellow. #WALSUI EURO 2020.</v>
      </c>
      <c r="V14" s="39" t="s">
        <v>17</v>
      </c>
      <c r="Y14" s="5"/>
      <c r="Z14" s="40">
        <f>IFERROR(__xludf.DUMMYFUNCTION("""COMPUTED_VALUE"""),44359.60678240741)</f>
        <v>44359.60678</v>
      </c>
      <c r="AA14" s="5" t="str">
        <f>IFERROR(__xludf.DUMMYFUNCTION("""COMPUTED_VALUE"""),"Golllll Moore. GOOOOOOOOL DE #WAL. GOOOOOOOOOOOOOOOL MAN LIKE MOORE THIS IS FUTBOLLLLLL. Gol Moore. Goooooooooooool de #Wal. EURO 2020. GOLLLLLLL DE MOORE, GOLLL DE #WAL. Goooooooolllllll 🔥🔥🔥🔥🔥 Mooore #Wal EURO 2020. Gol de Wales 1-1 EURO 2020. GOLLL"&amp;" MOORE!!! WALES 1-1 SWISS.")</f>
        <v>Golllll Moore. GOOOOOOOOL DE #WAL. GOOOOOOOOOOOOOOOL MAN LIKE MOORE THIS IS FUTBOLLLLLL. Gol Moore. Goooooooooooool de #Wal. EURO 2020. GOLLLLLLL DE MOORE, GOLLL DE #WAL. Goooooooolllllll 🔥🔥🔥🔥🔥 Mooore #Wal EURO 2020. Gol de Wales 1-1 EURO 2020. GOLLL MOORE!!! WALES 1-1 SWISS.</v>
      </c>
      <c r="AB14" s="39" t="s">
        <v>17</v>
      </c>
      <c r="AC14" s="40">
        <f>IFERROR(__xludf.DUMMYFUNCTION("""COMPUTED_VALUE"""),44359.60092592593)</f>
        <v>44359.60093</v>
      </c>
      <c r="AD14" s="5" t="str">
        <f>IFERROR(__xludf.DUMMYFUNCTION("""COMPUTED_VALUE"""),"Great ball from Ramsey, that needs to be in the back of the net. That’s 2 brilliant free kicks from Wales (Bale/Ramsey) and not one player gambling on getting the final touch on it. Ramsey licks the air in disappointment after that free kick #WALSUI EURO "&amp;"2020.")</f>
        <v>Great ball from Ramsey, that needs to be in the back of the net. That’s 2 brilliant free kicks from Wales (Bale/Ramsey) and not one player gambling on getting the final touch on it. Ramsey licks the air in disappointment after that free kick #WALSUI EURO 2020.</v>
      </c>
      <c r="AE14" s="39" t="s">
        <v>18</v>
      </c>
      <c r="AF14" s="40">
        <f>IFERROR(__xludf.DUMMYFUNCTION("""COMPUTED_VALUE"""),44359.61969907407)</f>
        <v>44359.6197</v>
      </c>
      <c r="AG14" s="5" t="str">
        <f>IFERROR(__xludf.DUMMYFUNCTION("""COMPUTED_VALUE"""),"We have 2 World Class Keepers in the euros wtaf 😭😭 DANNY DANNY WARD. Danny ward has been top class👏. Danny ward still world beater, love to see it. Danny Ward is the greatest goalkeeper in the world 🏴󠁧󠁢󠁷󠁬󠁳󠁿🏴󠁧󠁢󠁷󠁬󠁳󠁿🏴󠁧󠁢󠁷󠁬󠁳󠁿. Danny War"&amp;"d best GK in the world ? EURO 2020 #WAL.")</f>
        <v>We have 2 World Class Keepers in the euros wtaf 😭😭 DANNY DANNY WARD. Danny ward has been top class👏. Danny ward still world beater, love to see it. Danny Ward is the greatest goalkeeper in the world 🏴󠁧󠁢󠁷󠁬󠁳󠁿🏴󠁧󠁢󠁷󠁬󠁳󠁿🏴󠁧󠁢󠁷󠁬󠁳󠁿. Danny Ward best GK in the world ? EURO 2020 #WAL.</v>
      </c>
      <c r="AH14" s="39" t="s">
        <v>16</v>
      </c>
      <c r="AI14" s="40">
        <f>IFERROR(__xludf.DUMMYFUNCTION("""COMPUTED_VALUE"""),44359.618483796294)</f>
        <v>44359.61848</v>
      </c>
      <c r="AJ14" s="5" t="str">
        <f>IFERROR(__xludf.DUMMYFUNCTION("""COMPUTED_VALUE"""),"What a fucking save Embolo is looking for that. Brilliant save by Ward!. EURO 2020 #Wal. Hell of a save! Fantastic. EURO 2020. What a save Danny Ward!!! Another world class save to save the Welsh again...... Good save from Ward. Embolo has been fantastic "&amp;"today though.")</f>
        <v>What a fucking save Embolo is looking for that. Brilliant save by Ward!. EURO 2020 #Wal. Hell of a save! Fantastic. EURO 2020. What a save Danny Ward!!! Another world class save to save the Welsh again...... Good save from Ward. Embolo has been fantastic today though.</v>
      </c>
      <c r="AK14" s="39" t="s">
        <v>18</v>
      </c>
      <c r="AL14" s="40"/>
      <c r="AM14" s="5"/>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123</v>
      </c>
      <c r="D15" s="26">
        <f t="shared" si="64"/>
        <v>1</v>
      </c>
      <c r="E15" s="40">
        <f>IFERROR(__xludf.DUMMYFUNCTION("""COMPUTED_VALUE"""),44359.54318287037)</f>
        <v>44359.54318</v>
      </c>
      <c r="F15" s="5" t="str">
        <f>IFERROR(__xludf.DUMMYFUNCTION("""COMPUTED_VALUE"""),"EURO 2020 what do you think who will win? 28 matches unbeaten. Eased to a 3-0 win on the opening day of EURO 2020. #ITA are all business.. ⚽️ Here we go! ℹ️ Group A, matchday. 🏴󠁧󠁢󠁷󠁬󠁳󠁿🆚🇨🇭 Who's winning this? EURO 2020. Wales winning this 2-1. Bal"&amp;"e scores 2 🤝.")</f>
        <v>EURO 2020 what do you think who will win? 28 matches unbeaten. Eased to a 3-0 win on the opening day of EURO 2020. #ITA are all business.. ⚽️ Here we go! ℹ️ Group A, matchday. 🏴󠁧󠁢󠁷󠁬󠁳󠁿🆚🇨🇭 Who's winning this? EURO 2020. Wales winning this 2-1. Bale scores 2 🤝.</v>
      </c>
      <c r="G15" s="39" t="s">
        <v>17</v>
      </c>
      <c r="H15" s="40">
        <f>IFERROR(__xludf.DUMMYFUNCTION("""COMPUTED_VALUE"""),44359.57542824074)</f>
        <v>44359.57543</v>
      </c>
      <c r="I15" s="5" t="str">
        <f>IFERROR(__xludf.DUMMYFUNCTION("""COMPUTED_VALUE"""),"Embolo looks like a whole different player since I watched him last seferovic stinks. So where was VAR there. Shows players have to go down to get a penalty. EURO 2020 #walesvsswitzerland. Respect to Embolo for not going down for a pen, most players would"&amp;".")</f>
        <v>Embolo looks like a whole different player since I watched him last seferovic stinks. So where was VAR there. Shows players have to go down to get a penalty. EURO 2020 #walesvsswitzerland. Respect to Embolo for not going down for a pen, most players would.</v>
      </c>
      <c r="J15" s="39" t="s">
        <v>18</v>
      </c>
      <c r="K15" s="40">
        <f>IFERROR(__xludf.DUMMYFUNCTION("""COMPUTED_VALUE"""),44359.56245370371)</f>
        <v>44359.56245</v>
      </c>
      <c r="L15" s="5" t="str">
        <f>IFERROR(__xludf.DUMMYFUNCTION("""COMPUTED_VALUE"""),"Seferovic will score if Wales don't get serious. Danny Ward, in goal for Wales, has played a total of 18 times since getting promoted with Huddersfield Town in 2017. ARE WE GONNA GET GOALS. THIS IS BORING #WALSUI.")</f>
        <v>Seferovic will score if Wales don't get serious. Danny Ward, in goal for Wales, has played a total of 18 times since getting promoted with Huddersfield Town in 2017. ARE WE GONNA GET GOALS. THIS IS BORING #WALSUI.</v>
      </c>
      <c r="M15" s="39" t="s">
        <v>18</v>
      </c>
      <c r="N15" s="40">
        <f>IFERROR(__xludf.DUMMYFUNCTION("""COMPUTED_VALUE"""),44359.58981481481)</f>
        <v>44359.58981</v>
      </c>
      <c r="O15" s="5" t="str">
        <f>IFERROR(__xludf.DUMMYFUNCTION("""COMPUTED_VALUE"""),"Embolo destroyed the defence to win the corner. Embolo scores the corner to give Switzerland the lead! #SUI. Switzerland lead against Wales! Embolo could’ve had a few, he gets their first! #SUI take the lead! Embolo header. It's been coming, 1-0 up on #WA"&amp;"L.")</f>
        <v>Embolo destroyed the defence to win the corner. Embolo scores the corner to give Switzerland the lead! #SUI. Switzerland lead against Wales! Embolo could’ve had a few, he gets their first! #SUI take the lead! Embolo header. It's been coming, 1-0 up on #WAL.</v>
      </c>
      <c r="P15" s="39" t="s">
        <v>17</v>
      </c>
      <c r="Q15" s="40">
        <f>IFERROR(__xludf.DUMMYFUNCTION("""COMPUTED_VALUE"""),44359.57542824074)</f>
        <v>44359.57543</v>
      </c>
      <c r="R15" s="5" t="str">
        <f>IFERROR(__xludf.DUMMYFUNCTION("""COMPUTED_VALUE"""),"Pass to bale and inshallah FC. Embolo could’ve easily taken some pace off that ball. Embolo shouldve tried to shoot there, no clue why he looked for the pass. That was an atrocious pass from embolo. The passing from midfield to attack hasn’t been good eno"&amp;"ugh #WAL. Xhaka's passing.")</f>
        <v>Pass to bale and inshallah FC. Embolo could’ve easily taken some pace off that ball. Embolo shouldve tried to shoot there, no clue why he looked for the pass. That was an atrocious pass from embolo. The passing from midfield to attack hasn’t been good enough #WAL. Xhaka's passing.</v>
      </c>
      <c r="S15" s="39" t="s">
        <v>18</v>
      </c>
      <c r="T15" s="40">
        <f>IFERROR(__xludf.DUMMYFUNCTION("""COMPUTED_VALUE"""),44359.59957175926)</f>
        <v>44359.59957</v>
      </c>
      <c r="U15" s="5" t="str">
        <f>IFERROR(__xludf.DUMMYFUNCTION("""COMPUTED_VALUE"""),"How's that even a foul never mind a booking?! Fantastic tackle by Mbabu. Can’t tackle in football anymore. Mbabu penalised and booked for a perfectly good tackle. Mbabu booked for tackling and winning the ball. Game's gone. Mbabu yellow 🥵 also wasn't a b"&amp;"ad tackle refs shit.")</f>
        <v>How's that even a foul never mind a booking?! Fantastic tackle by Mbabu. Can’t tackle in football anymore. Mbabu penalised and booked for a perfectly good tackle. Mbabu booked for tackling and winning the ball. Game's gone. Mbabu yellow 🥵 also wasn't a bad tackle refs shit.</v>
      </c>
      <c r="V15" s="39" t="s">
        <v>17</v>
      </c>
      <c r="Y15" s="5"/>
      <c r="Z15" s="40">
        <f>IFERROR(__xludf.DUMMYFUNCTION("""COMPUTED_VALUE"""),44359.60909722222)</f>
        <v>44359.6091</v>
      </c>
      <c r="AA15" s="5" t="str">
        <f>IFERROR(__xludf.DUMMYFUNCTION("""COMPUTED_VALUE"""),"Ffs sommer u had 1 job. WHAT A CROSS BY ZAKARIA. No help ffs. Embolo is honestly rubbish ffs. He takes off the only man with energy and pace Dan James ffs still needs to make subs #WALSUI. Get Zuber and Gavranovic on ffs or Gavranovc and vargas.")</f>
        <v>Ffs sommer u had 1 job. WHAT A CROSS BY ZAKARIA. No help ffs. Embolo is honestly rubbish ffs. He takes off the only man with energy and pace Dan James ffs still needs to make subs #WALSUI. Get Zuber and Gavranovic on ffs or Gavranovc and vargas.</v>
      </c>
      <c r="AB15" s="39" t="s">
        <v>16</v>
      </c>
      <c r="AC15" s="40">
        <f>IFERROR(__xludf.DUMMYFUNCTION("""COMPUTED_VALUE"""),44359.60702546296)</f>
        <v>44359.60703</v>
      </c>
      <c r="AD15" s="5" t="str">
        <f>IFERROR(__xludf.DUMMYFUNCTION("""COMPUTED_VALUE"""),"Wow what a nicely designed corner for #Wal 1-1. A well worked corner for Wales there. Great goal. ⚽. EURO 2020. What a brilliant corner routine that was! 👏 #WALSUI EURO 2020. Lovely execution from Wales on that corner! #WAL EURO 2020. 1-1 Wales, Moore fr"&amp;"om a corner, lovely header.")</f>
        <v>Wow what a nicely designed corner for #Wal 1-1. A well worked corner for Wales there. Great goal. ⚽. EURO 2020. What a brilliant corner routine that was! 👏 #WALSUI EURO 2020. Lovely execution from Wales on that corner! #WAL EURO 2020. 1-1 Wales, Moore from a corner, lovely header.</v>
      </c>
      <c r="AE15" s="39" t="s">
        <v>17</v>
      </c>
      <c r="AH15" s="5"/>
      <c r="AI15" s="40">
        <f>IFERROR(__xludf.DUMMYFUNCTION("""COMPUTED_VALUE"""),44359.624872685185)</f>
        <v>44359.62487</v>
      </c>
      <c r="AJ15" s="5" t="str">
        <f>IFERROR(__xludf.DUMMYFUNCTION("""COMPUTED_VALUE"""),"FT 🏴󠁧󠁢󠁷󠁬󠁳󠁿 1-1 🇨🇭- Wales lucky to get a draw in Baku, very much 2nd best, keeper Danny Ward their best player. Daniel James played the best for Wales. 🥲🥲. 💪🟦🟥 Best of luck to our players at EURO 2020!. 🎨 MTS Media. Danny Ward is the best go"&amp;"alkeeper in the contribution.")</f>
        <v>FT 🏴󠁧󠁢󠁷󠁬󠁳󠁿 1-1 🇨🇭- Wales lucky to get a draw in Baku, very much 2nd best, keeper Danny Ward their best player. Daniel James played the best for Wales. 🥲🥲. 💪🟦🟥 Best of luck to our players at EURO 2020!. 🎨 MTS Media. Danny Ward is the best goalkeeper in the contribution.</v>
      </c>
      <c r="AK15" s="39" t="s">
        <v>17</v>
      </c>
      <c r="AL15" s="40"/>
      <c r="AM15" s="5"/>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NOT(ISERROR($E8:DF8))))"),0.7520484346571302)</f>
        <v>0.7520484347</v>
      </c>
      <c r="E16" s="40">
        <f>IFERROR(__xludf.DUMMYFUNCTION("""COMPUTED_VALUE"""),44359.55756944444)</f>
        <v>44359.55757</v>
      </c>
      <c r="F16" s="5" t="str">
        <f>IFERROR(__xludf.DUMMYFUNCTION("""COMPUTED_VALUE"""),"It begins PUMA Football euro 2020 🐈‍⬛ 🏴󠁧󠁢󠁥󠁮󠁧󠁿.")</f>
        <v>It begins PUMA Football euro 2020 🐈‍⬛ 🏴󠁧󠁢󠁥󠁮󠁧󠁿.</v>
      </c>
      <c r="G16" s="39" t="s">
        <v>15</v>
      </c>
      <c r="H16" s="40">
        <f>IFERROR(__xludf.DUMMYFUNCTION("""COMPUTED_VALUE"""),44359.58981481481)</f>
        <v>44359.58981</v>
      </c>
      <c r="I16" s="5" t="str">
        <f>IFERROR(__xludf.DUMMYFUNCTION("""COMPUTED_VALUE"""),"I’d take embolo at Liverpool. Always loved Breel Embolo he'll definitely be a great player real soon if not at this tournament. Hope spurs scout him tho. #Sui. Embolo what a player. Embolo has been the best player in this game, deserves that goal. Wonder "&amp;"what the Wales Plan B is?")</f>
        <v>I’d take embolo at Liverpool. Always loved Breel Embolo he'll definitely be a great player real soon if not at this tournament. Hope spurs scout him tho. #Sui. Embolo what a player. Embolo has been the best player in this game, deserves that goal. Wonder what the Wales Plan B is?</v>
      </c>
      <c r="J16" s="39" t="s">
        <v>17</v>
      </c>
      <c r="K16" s="40">
        <f>IFERROR(__xludf.DUMMYFUNCTION("""COMPUTED_VALUE"""),44359.56458333333)</f>
        <v>44359.56458</v>
      </c>
      <c r="L16" s="5" t="str">
        <f>IFERROR(__xludf.DUMMYFUNCTION("""COMPUTED_VALUE"""),"BALE SCORE THIS PLEASE. Bale scoring this. Beg bale doesn’t score i switched him with insigne i hope that was a w. Bale to score?. Can bale pls score pls pls pls pls pls. A goal is coming from this setpiece and bale is scoring it. Bale surely isn’t thinki"&amp;"ng going for goal.")</f>
        <v>BALE SCORE THIS PLEASE. Bale scoring this. Beg bale doesn’t score i switched him with insigne i hope that was a w. Bale to score?. Can bale pls score pls pls pls pls pls. A goal is coming from this setpiece and bale is scoring it. Bale surely isn’t thinking going for goal.</v>
      </c>
      <c r="M16" s="39" t="s">
        <v>16</v>
      </c>
      <c r="N16" s="40">
        <f>IFERROR(__xludf.DUMMYFUNCTION("""COMPUTED_VALUE"""),44359.60041666667)</f>
        <v>44359.60042</v>
      </c>
      <c r="O16" s="5" t="str">
        <f>IFERROR(__xludf.DUMMYFUNCTION("""COMPUTED_VALUE"""),"Mbabu will be close to a 2nd. Much better game this 2nd half EURO 2020 #WALSUI. Kevin Mbabu is so underrated he needs a big move. EURO 2020 Kevin Mbabu of #SUI Switzerland gets the second yellow card of the game!! 2nd game and 2nd winner!!! Moore with a c"&amp;"ard at Lovely stuff ✅.")</f>
        <v>Mbabu will be close to a 2nd. Much better game this 2nd half EURO 2020 #WALSUI. Kevin Mbabu is so underrated he needs a big move. EURO 2020 Kevin Mbabu of #SUI Switzerland gets the second yellow card of the game!! 2nd game and 2nd winner!!! Moore with a card at Lovely stuff ✅.</v>
      </c>
      <c r="P16" s="39" t="s">
        <v>17</v>
      </c>
      <c r="Q16" s="40">
        <f>IFERROR(__xludf.DUMMYFUNCTION("""COMPUTED_VALUE"""),44359.576944444445)</f>
        <v>44359.57694</v>
      </c>
      <c r="R16" s="5" t="str">
        <f>IFERROR(__xludf.DUMMYFUNCTION("""COMPUTED_VALUE"""),"Mepham a wee touch lucky there with the tugging in the box. Oh that final touch..🙀. EURO 2020. #WALSUI. 46.' 0-0. Has Bale touched the ball ? Gareth Bale and Dan James combined for 25 touches during the first half. #WAL EURO 2020.")</f>
        <v>Mepham a wee touch lucky there with the tugging in the box. Oh that final touch..🙀. EURO 2020. #WALSUI. 46.' 0-0. Has Bale touched the ball ? Gareth Bale and Dan James combined for 25 touches during the first half. #WAL EURO 2020.</v>
      </c>
      <c r="S16" s="39" t="s">
        <v>18</v>
      </c>
      <c r="T16" s="40">
        <f>IFERROR(__xludf.DUMMYFUNCTION("""COMPUTED_VALUE"""),44359.61140046296)</f>
        <v>44359.6114</v>
      </c>
      <c r="U16" s="5" t="str">
        <f>IFERROR(__xludf.DUMMYFUNCTION("""COMPUTED_VALUE"""),"Who is mepham ? Shouting ref as he’s playing 😂😂 great big pansy. This ref is so bad #WALSUI. What‘s with the ref? 🤔 #WALSUI.")</f>
        <v>Who is mepham ? Shouting ref as he’s playing 😂😂 great big pansy. This ref is so bad #WALSUI. What‘s with the ref? 🤔 #WALSUI.</v>
      </c>
      <c r="V16" s="39" t="s">
        <v>15</v>
      </c>
      <c r="Y16" s="5"/>
      <c r="Z16" s="40">
        <f>IFERROR(__xludf.DUMMYFUNCTION("""COMPUTED_VALUE"""),44359.62060185186)</f>
        <v>44359.6206</v>
      </c>
      <c r="AA16" s="5" t="str">
        <f>IFERROR(__xludf.DUMMYFUNCTION("""COMPUTED_VALUE"""),"Asked why Gavranovic wasn’t on before the 80th minute when he scored a hattrick in his last game. Question answered, cunt lives offside 😂. Gavranovic just living offsides since he came into this game 🏕 EURO 2020. Gavranovic born offside ffs. Gavranovic "&amp;"lives offside.")</f>
        <v>Asked why Gavranovic wasn’t on before the 80th minute when he scored a hattrick in his last game. Question answered, cunt lives offside 😂. Gavranovic just living offsides since he came into this game 🏕 EURO 2020. Gavranovic born offside ffs. Gavranovic lives offside.</v>
      </c>
      <c r="AB16" s="39" t="s">
        <v>18</v>
      </c>
      <c r="AC16" s="40">
        <f>IFERROR(__xludf.DUMMYFUNCTION("""COMPUTED_VALUE"""),44359.60990740741)</f>
        <v>44359.60991</v>
      </c>
      <c r="AD16" s="5" t="str">
        <f>IFERROR(__xludf.DUMMYFUNCTION("""COMPUTED_VALUE"""),"📸 Kieffer Moore nets the equaliser in Baku ⚽️. EURO 2020.")</f>
        <v>📸 Kieffer Moore nets the equaliser in Baku ⚽️. EURO 2020.</v>
      </c>
      <c r="AE16" s="39" t="s">
        <v>14</v>
      </c>
      <c r="AH16" s="5"/>
      <c r="AK16" s="5"/>
      <c r="AL16" s="40"/>
      <c r="AM16" s="5"/>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0.7235772358</v>
      </c>
      <c r="E17" s="40">
        <f>IFERROR(__xludf.DUMMYFUNCTION("""COMPUTED_VALUE"""),44359.564317129625)</f>
        <v>44359.56432</v>
      </c>
      <c r="F17" s="5" t="str">
        <f>IFERROR(__xludf.DUMMYFUNCTION("""COMPUTED_VALUE"""),"Who will win EURO 2020. Switzerland win 1-0, Embolo scores the winner. Not winning the ball in midfield. #wal. Great run from Daniel James there, gives his defenders a rest and wins a free kick in a great position for Wales.")</f>
        <v>Who will win EURO 2020. Switzerland win 1-0, Embolo scores the winner. Not winning the ball in midfield. #wal. Great run from Daniel James there, gives his defenders a rest and wins a free kick in a great position for Wales.</v>
      </c>
      <c r="G17" s="39" t="s">
        <v>18</v>
      </c>
      <c r="H17" s="40">
        <f>IFERROR(__xludf.DUMMYFUNCTION("""COMPUTED_VALUE"""),44359.595625)</f>
        <v>44359.59563</v>
      </c>
      <c r="I17" s="5" t="str">
        <f>IFERROR(__xludf.DUMMYFUNCTION("""COMPUTED_VALUE"""),"I’d take embolo at arsenal strong pacey looks a handful. Switzerland and Wales both take the knee.. EURO 2020. No way Daniel James' taking their corners 🤡🤡. Why is Daniel James taking set pieces? He’s ass. Apparently the Welsh think ‘Bale is all it take"&amp;"s …’ #WALSWI.")</f>
        <v>I’d take embolo at arsenal strong pacey looks a handful. Switzerland and Wales both take the knee.. EURO 2020. No way Daniel James' taking their corners 🤡🤡. Why is Daniel James taking set pieces? He’s ass. Apparently the Welsh think ‘Bale is all it takes …’ #WALSWI.</v>
      </c>
      <c r="J17" s="39" t="s">
        <v>18</v>
      </c>
      <c r="K17" s="40">
        <f>IFERROR(__xludf.DUMMYFUNCTION("""COMPUTED_VALUE"""),44359.575)</f>
        <v>44359.575</v>
      </c>
      <c r="L17" s="5" t="str">
        <f>IFERROR(__xludf.DUMMYFUNCTION("""COMPUTED_VALUE"""),"Seferovic mach mal das Tor! #WALSUI. WTF, make this goal! #SUI. Seferovic has been so poor in front of goal. Fantastic hold-up play by Embolo. How has Seferovic not scored. Pretty sure he’s hit every shot over the bar. Ffss seferovic mf score. Seferovic s"&amp;"hould have scored.")</f>
        <v>Seferovic mach mal das Tor! #WALSUI. WTF, make this goal! #SUI. Seferovic has been so poor in front of goal. Fantastic hold-up play by Embolo. How has Seferovic not scored. Pretty sure he’s hit every shot over the bar. Ffss seferovic mf score. Seferovic should have scored.</v>
      </c>
      <c r="M17" s="39" t="s">
        <v>18</v>
      </c>
      <c r="N17" s="40">
        <f>IFERROR(__xludf.DUMMYFUNCTION("""COMPUTED_VALUE"""),44359.601736111115)</f>
        <v>44359.60174</v>
      </c>
      <c r="O17" s="5" t="str">
        <f>IFERROR(__xludf.DUMMYFUNCTION("""COMPUTED_VALUE"""),"Embolo needed at the lane. How good has Embolo been 2nd half? #WALSUI. Someone needs to snap embolo. He's killing us. Embolo second half masterclass. FS SHAQIRI SUBBED. Embolo straight back to Wales goal looking for a second. #SUI. Breel Embolo gives Swit"&amp;"zerland the lead! 💥.")</f>
        <v>Embolo needed at the lane. How good has Embolo been 2nd half? #WALSUI. Someone needs to snap embolo. He's killing us. Embolo second half masterclass. FS SHAQIRI SUBBED. Embolo straight back to Wales goal looking for a second. #SUI. Breel Embolo gives Switzerland the lead! 💥.</v>
      </c>
      <c r="P17" s="39" t="s">
        <v>17</v>
      </c>
      <c r="Q17" s="40">
        <f>IFERROR(__xludf.DUMMYFUNCTION("""COMPUTED_VALUE"""),44359.579050925924)</f>
        <v>44359.57905</v>
      </c>
      <c r="R17" s="5" t="str">
        <f>IFERROR(__xludf.DUMMYFUNCTION("""COMPUTED_VALUE"""),"Wales badly outplayed there, lucky to be level and still in it. Surely too hot there to spend another half chasing the ball. #WALSUI. Fabian didn't believe in that last pass.#WALSUI. Need to get foothold in this game and Ramsey and Bale on the ball. Or it"&amp;" will end badly 🏴󠁧󠁢󠁷󠁬󠁳󠁿.")</f>
        <v>Wales badly outplayed there, lucky to be level and still in it. Surely too hot there to spend another half chasing the ball. #WALSUI. Fabian didn't believe in that last pass.#WALSUI. Need to get foothold in this game and Ramsey and Bale on the ball. Or it will end badly 🏴󠁧󠁢󠁷󠁬󠁳󠁿.</v>
      </c>
      <c r="S17" s="39" t="s">
        <v>18</v>
      </c>
      <c r="T17" s="40">
        <f>IFERROR(__xludf.DUMMYFUNCTION("""COMPUTED_VALUE"""),44359.61487268518)</f>
        <v>44359.61487</v>
      </c>
      <c r="U17" s="5" t="str">
        <f>IFERROR(__xludf.DUMMYFUNCTION("""COMPUTED_VALUE"""),"VAR and Xhaka ain't in the same WhatsApp group. VAR going to rule this one out... #WALSUI. Looks off, #SUI takes a lead, again. VAR checking. Tell me VAR are watching!!!??? EURO 2020 …. VAR will overturn this goal #WALSUI. First big VAR moment hope they g"&amp;"et it right EURO 2020.")</f>
        <v>VAR and Xhaka ain't in the same WhatsApp group. VAR going to rule this one out... #WALSUI. Looks off, #SUI takes a lead, again. VAR checking. Tell me VAR are watching!!!??? EURO 2020 …. VAR will overturn this goal #WALSUI. First big VAR moment hope they get it right EURO 2020.</v>
      </c>
      <c r="V17" s="39" t="s">
        <v>18</v>
      </c>
      <c r="Y17" s="5"/>
      <c r="Z17" s="40">
        <f>IFERROR(__xludf.DUMMYFUNCTION("""COMPUTED_VALUE"""),44359.621817129635)</f>
        <v>44359.62182</v>
      </c>
      <c r="AA17" s="5" t="str">
        <f>IFERROR(__xludf.DUMMYFUNCTION("""COMPUTED_VALUE"""),"90+2' Ramsey comes off and it's my star man for Wales Ethan Ampadu replacing him. 🏴󠁧󠁢󠁷󠁬󠁳󠁿 1 vs 1 🇨🇭 live UEFA EURO 2020. Oh baby it's you. Ethan Ampadu. That makes me love you. Now I'm living in ecstasy.")</f>
        <v>90+2' Ramsey comes off and it's my star man for Wales Ethan Ampadu replacing him. 🏴󠁧󠁢󠁷󠁬󠁳󠁿 1 vs 1 🇨🇭 live UEFA EURO 2020. Oh baby it's you. Ethan Ampadu. That makes me love you. Now I'm living in ecstasy.</v>
      </c>
      <c r="AB17" s="39" t="s">
        <v>17</v>
      </c>
      <c r="AC17" s="40">
        <f>IFERROR(__xludf.DUMMYFUNCTION("""COMPUTED_VALUE"""),44359.618425925924)</f>
        <v>44359.61843</v>
      </c>
      <c r="AD17" s="5" t="str">
        <f>IFERROR(__xludf.DUMMYFUNCTION("""COMPUTED_VALUE"""),"(90) - Another Embolo header from a corner is saved by Ward. #WALSUI. Embolo is bullying his mark on these corners. Embolo already scored a corner and now midget Joe Allen is covering him. There was no need for Brooks to give a corner away there. All thes"&amp;"e corners!!! EURO 2020.")</f>
        <v>(90) - Another Embolo header from a corner is saved by Ward. #WALSUI. Embolo is bullying his mark on these corners. Embolo already scored a corner and now midget Joe Allen is covering him. There was no need for Brooks to give a corner away there. All these corners!!! EURO 2020.</v>
      </c>
      <c r="AE17" s="39" t="s">
        <v>18</v>
      </c>
      <c r="AH17" s="5"/>
      <c r="AK17" s="5"/>
      <c r="AL17" s="40"/>
      <c r="AM17" s="5"/>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41" t="s">
        <v>340</v>
      </c>
      <c r="C18" s="33"/>
      <c r="D18" s="33"/>
      <c r="E18" s="40">
        <f>IFERROR(__xludf.DUMMYFUNCTION("""COMPUTED_VALUE"""),44359.57168981481)</f>
        <v>44359.57169</v>
      </c>
      <c r="F18" s="5" t="str">
        <f>IFERROR(__xludf.DUMMYFUNCTION("""COMPUTED_VALUE"""),"Final preparations ahead of #WALSUI ✅ EURO 2020. If Wales want to win this they should bring Bale on at halftime 😉. Switzerland have never been involved in an entertaining football match. EURO 2020 #WALSUI. Xhaka is a decent footballer you know. Seferovi"&amp;"c is a g league player.")</f>
        <v>Final preparations ahead of #WALSUI ✅ EURO 2020. If Wales want to win this they should bring Bale on at halftime 😉. Switzerland have never been involved in an entertaining football match. EURO 2020 #WALSUI. Xhaka is a decent footballer you know. Seferovic is a g league player.</v>
      </c>
      <c r="G18" s="39" t="s">
        <v>16</v>
      </c>
      <c r="H18" s="40">
        <f>IFERROR(__xludf.DUMMYFUNCTION("""COMPUTED_VALUE"""),44359.598773148144)</f>
        <v>44359.59877</v>
      </c>
      <c r="I18" s="5" t="str">
        <f>IFERROR(__xludf.DUMMYFUNCTION("""COMPUTED_VALUE"""),"No way Daniel James' taking their corners 🤡🤡. Why is Daniel James taking set pieces? He’s ass. Daniel James has been the best player for Wales today and you love to see it. Watching this game Emobolo looks like a class player liverpool should think of s"&amp;"igning🔥 #lfc #WALSUI.")</f>
        <v>No way Daniel James' taking their corners 🤡🤡. Why is Daniel James taking set pieces? He’s ass. Daniel James has been the best player for Wales today and you love to see it. Watching this game Emobolo looks like a class player liverpool should think of signing🔥 #lfc #WALSUI.</v>
      </c>
      <c r="J18" s="39" t="s">
        <v>14</v>
      </c>
      <c r="K18" s="40">
        <f>IFERROR(__xludf.DUMMYFUNCTION("""COMPUTED_VALUE"""),44359.576932870375)</f>
        <v>44359.57693</v>
      </c>
      <c r="L18" s="5" t="str">
        <f>IFERROR(__xludf.DUMMYFUNCTION("""COMPUTED_VALUE"""),"First half #WALSUI. I hope to see goal in 2nd half! Wales lucky to escape that half without conceding a penalty, that shirt pull 😳 #WAL #SUI. Switzerland on top, but Wales have come closest to scoring. Looking forward to the second half! EUROS 2020 #WALS"&amp;"UI.")</f>
        <v>First half #WALSUI. I hope to see goal in 2nd half! Wales lucky to escape that half without conceding a penalty, that shirt pull 😳 #WAL #SUI. Switzerland on top, but Wales have come closest to scoring. Looking forward to the second half! EUROS 2020 #WALSUI.</v>
      </c>
      <c r="M18" s="39" t="s">
        <v>17</v>
      </c>
      <c r="N18" s="40">
        <f>IFERROR(__xludf.DUMMYFUNCTION("""COMPUTED_VALUE"""),44359.60711805556)</f>
        <v>44359.60712</v>
      </c>
      <c r="O18" s="5" t="str">
        <f>IFERROR(__xludf.DUMMYFUNCTION("""COMPUTED_VALUE"""),"Wales needed to do Moore and up stood Moore 🤩🙌. That is a superb header from Moore. Wales deserve this. Much better second half. This is what happens when half of your fantasy league have Kieffer Moore. It helped that Moore got his ears untucked at half"&amp;"-time. C'mon Wales!")</f>
        <v>Wales needed to do Moore and up stood Moore 🤩🙌. That is a superb header from Moore. Wales deserve this. Much better second half. This is what happens when half of your fantasy league have Kieffer Moore. It helped that Moore got his ears untucked at half-time. C'mon Wales!</v>
      </c>
      <c r="P18" s="39" t="s">
        <v>18</v>
      </c>
      <c r="Q18" s="40">
        <f>IFERROR(__xludf.DUMMYFUNCTION("""COMPUTED_VALUE"""),44359.59043981481)</f>
        <v>44359.59044</v>
      </c>
      <c r="R18" s="5" t="str">
        <f>IFERROR(__xludf.DUMMYFUNCTION("""COMPUTED_VALUE"""),"Unreal touch and turn Embolo. And then the goal. Great stuff. Wales have been so poor , brilliant touch ,turn of pace and strike from embolo. Embolo been balling out. Breel Emboloooooo !! My Boy.... so strong with the ball EURO 2020. Embolo be strong pass"&amp;" Thanos.👿.")</f>
        <v>Unreal touch and turn Embolo. And then the goal. Great stuff. Wales have been so poor , brilliant touch ,turn of pace and strike from embolo. Embolo been balling out. Breel Emboloooooo !! My Boy.... so strong with the ball EURO 2020. Embolo be strong pass Thanos.👿.</v>
      </c>
      <c r="S18" s="39" t="s">
        <v>17</v>
      </c>
      <c r="T18" s="40">
        <f>IFERROR(__xludf.DUMMYFUNCTION("""COMPUTED_VALUE"""),44359.61866898148)</f>
        <v>44359.61867</v>
      </c>
      <c r="U18" s="5" t="str">
        <f>IFERROR(__xludf.DUMMYFUNCTION("""COMPUTED_VALUE"""),"#WALSUI savage said commit fouls hes encouraging cheering. Again typical BBC. Cringeworthy from Savage celebrating a var decision EURO 2020. Lol Robbie Savage advocating players using dark arts looooll (fouling) 🤣🤣😂 #WALSUI. ""Just commit fouls"" growl"&amp;"s Robbie Savage. #WAL #SUI.")</f>
        <v>#WALSUI savage said commit fouls hes encouraging cheering. Again typical BBC. Cringeworthy from Savage celebrating a var decision EURO 2020. Lol Robbie Savage advocating players using dark arts looooll (fouling) 🤣🤣😂 #WALSUI. "Just commit fouls" growls Robbie Savage. #WAL #SUI.</v>
      </c>
      <c r="V18" s="39" t="s">
        <v>18</v>
      </c>
      <c r="Y18" s="5"/>
      <c r="AB18" s="5"/>
      <c r="AE18" s="5"/>
      <c r="AH18" s="5"/>
      <c r="AK18" s="5"/>
      <c r="AL18" s="40"/>
      <c r="AM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E19" s="40">
        <f>IFERROR(__xludf.DUMMYFUNCTION("""COMPUTED_VALUE"""),44359.57640046296)</f>
        <v>44359.5764</v>
      </c>
      <c r="F19" s="5" t="str">
        <f>IFERROR(__xludf.DUMMYFUNCTION("""COMPUTED_VALUE"""),"What time does the football start? #WALSUI. I just need either team to win noti ifyama draw. EURO 2020. Once again another dull game of football so far EURO 2020 Euros 2021. As halves of football go, that was of the less interesting variety EURO 2020.")</f>
        <v>What time does the football start? #WALSUI. I just need either team to win noti ifyama draw. EURO 2020. Once again another dull game of football so far EURO 2020 Euros 2021. As halves of football go, that was of the less interesting variety EURO 2020.</v>
      </c>
      <c r="G19" s="39" t="s">
        <v>18</v>
      </c>
      <c r="H19" s="40">
        <f>IFERROR(__xludf.DUMMYFUNCTION("""COMPUTED_VALUE"""),44359.60045138889)</f>
        <v>44359.60045</v>
      </c>
      <c r="I19" s="5" t="str">
        <f>IFERROR(__xludf.DUMMYFUNCTION("""COMPUTED_VALUE"""),"Kevin Mbabu the first non-England based player to be booked at EURO 2020 #WALSUI. I can't take Mbabu seriously knowing his first name is Kevin. Okay okay… 👀. The bet builder is shaping up, that wasn’t even a yellow but I’ll take it 😂. Mbabu Booked ✅.")</f>
        <v>Kevin Mbabu the first non-England based player to be booked at EURO 2020 #WALSUI. I can't take Mbabu seriously knowing his first name is Kevin. Okay okay… 👀. The bet builder is shaping up, that wasn’t even a yellow but I’ll take it 😂. Mbabu Booked ✅.</v>
      </c>
      <c r="J19" s="39" t="s">
        <v>17</v>
      </c>
      <c r="K19" s="40">
        <f>IFERROR(__xludf.DUMMYFUNCTION("""COMPUTED_VALUE"""),44359.58966435185)</f>
        <v>44359.58966</v>
      </c>
      <c r="L19" s="5" t="str">
        <f>IFERROR(__xludf.DUMMYFUNCTION("""COMPUTED_VALUE"""),"Fabulous turn from Embolo, now a goal for Embolo! That goal was coming. You can’t play that defensively and not go forward. #WALSUI. At last a goal EURO 2020 There goes my prediction. Deserved that. Especially after that turn and shot on goal! EURO 2020.")</f>
        <v>Fabulous turn from Embolo, now a goal for Embolo! That goal was coming. You can’t play that defensively and not go forward. #WALSUI. At last a goal EURO 2020 There goes my prediction. Deserved that. Especially after that turn and shot on goal! EURO 2020.</v>
      </c>
      <c r="M19" s="39" t="s">
        <v>17</v>
      </c>
      <c r="N19" s="40">
        <f>IFERROR(__xludf.DUMMYFUNCTION("""COMPUTED_VALUE"""),44359.61104166666)</f>
        <v>44359.61104</v>
      </c>
      <c r="O19" s="5" t="str">
        <f>IFERROR(__xludf.DUMMYFUNCTION("""COMPUTED_VALUE"""),"Gareth Bale I NEED you to score… NOW. Ben Davies needs to stop kicking the ball. Come on!!! We can get this second! Like Slovakia over again. All we need is Bale on a FK at the edge of the box👀😐. When you need him, Kieffer Moore is there. 🏴󠁧󠁢󠁷󠁬󠁳󠁿"&amp;". EURO 2020 | #WALSUI.")</f>
        <v>Gareth Bale I NEED you to score… NOW. Ben Davies needs to stop kicking the ball. Come on!!! We can get this second! Like Slovakia over again. All we need is Bale on a FK at the edge of the box👀😐. When you need him, Kieffer Moore is there. 🏴󠁧󠁢󠁷󠁬󠁳󠁿. EURO 2020 | #WALSUI.</v>
      </c>
      <c r="P19" s="39" t="s">
        <v>16</v>
      </c>
      <c r="Q19" s="40">
        <f>IFERROR(__xludf.DUMMYFUNCTION("""COMPUTED_VALUE"""),44359.593877314815)</f>
        <v>44359.59388</v>
      </c>
      <c r="R19" s="5" t="str">
        <f>IFERROR(__xludf.DUMMYFUNCTION("""COMPUTED_VALUE"""),"Akanji’s passing has been excellent today. He’s broken the lines on quite a few occasions. I'd take off Moore. Wales need to be passing through, Ramsay,Bale,etc. 3 key passes and an assist from Shaqiri when he has the freedom around the centre but Klopp t"&amp;"hinks he’s a winger 🤡.")</f>
        <v>Akanji’s passing has been excellent today. He’s broken the lines on quite a few occasions. I'd take off Moore. Wales need to be passing through, Ramsay,Bale,etc. 3 key passes and an assist from Shaqiri when he has the freedom around the centre but Klopp thinks he’s a winger 🤡.</v>
      </c>
      <c r="S19" s="39" t="s">
        <v>18</v>
      </c>
      <c r="T19" s="40">
        <f>IFERROR(__xludf.DUMMYFUNCTION("""COMPUTED_VALUE"""),44359.62258101851)</f>
        <v>44359.62258</v>
      </c>
      <c r="U19" s="5" t="str">
        <f>IFERROR(__xludf.DUMMYFUNCTION("""COMPUTED_VALUE"""),"Bale really washed. It's okay man, you've given the game all you needed to. #WAL 1-1 #SUI. Have to take that given how we played. Embolo’s the type of player that KSI would have given a career in 2012.")</f>
        <v>Bale really washed. It's okay man, you've given the game all you needed to. #WAL 1-1 #SUI. Have to take that given how we played. Embolo’s the type of player that KSI would have given a career in 2012.</v>
      </c>
      <c r="V19" s="39" t="s">
        <v>17</v>
      </c>
      <c r="Y19" s="5"/>
      <c r="AB19" s="5"/>
      <c r="AE19" s="5"/>
      <c r="AH19" s="5"/>
      <c r="AK19" s="5"/>
      <c r="AL19" s="40"/>
      <c r="AM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6">
        <f>IFERROR(__xludf.DUMMYFUNCTION("IF(C20, COUNTIF(FILTER($D$26:$D1007, $A$26:$A1007=A20), TRUE)/C20, 0)"),1.0)</f>
        <v>1</v>
      </c>
      <c r="E20" s="40">
        <f>IFERROR(__xludf.DUMMYFUNCTION("""COMPUTED_VALUE"""),44359.589837962965)</f>
        <v>44359.58984</v>
      </c>
      <c r="F20" s="5" t="str">
        <f>IFERROR(__xludf.DUMMYFUNCTION("""COMPUTED_VALUE"""),"Embolo finally doing his FIFA 16 career mode hype justice. Embolo might finally get his breakthrough. Embolo get in. Finally a goal. Finally!!!. EURO 2020. Embolo unstoppable!!! 1-0 finally. Embolo what a fucking footballer. Embolo! #SUI finally break thr"&amp;"ough! EURO 2020.")</f>
        <v>Embolo finally doing his FIFA 16 career mode hype justice. Embolo might finally get his breakthrough. Embolo get in. Finally a goal. Finally!!!. EURO 2020. Embolo unstoppable!!! 1-0 finally. Embolo what a fucking footballer. Embolo! #SUI finally break through! EURO 2020.</v>
      </c>
      <c r="G20" s="39" t="s">
        <v>17</v>
      </c>
      <c r="H20" s="40">
        <f>IFERROR(__xludf.DUMMYFUNCTION("""COMPUTED_VALUE"""),44359.601643518516)</f>
        <v>44359.60164</v>
      </c>
      <c r="I20" s="5" t="str">
        <f>IFERROR(__xludf.DUMMYFUNCTION("""COMPUTED_VALUE"""),"Embolo is some player 🔥. Zakaria is the player united should go for. Zakaria is not a good player and Zakaria got Shaqiri is not a good change. The Swiss NT is Borussia FC. Akanji, Sommer, Elvedi, Zakaria, Embolo on the pitch right now. 5/11 players. #SU"&amp;"I.")</f>
        <v>Embolo is some player 🔥. Zakaria is the player united should go for. Zakaria is not a good player and Zakaria got Shaqiri is not a good change. The Swiss NT is Borussia FC. Akanji, Sommer, Elvedi, Zakaria, Embolo on the pitch right now. 5/11 players. #SUI.</v>
      </c>
      <c r="J20" s="39" t="s">
        <v>17</v>
      </c>
      <c r="K20" s="40">
        <f>IFERROR(__xludf.DUMMYFUNCTION("""COMPUTED_VALUE"""),44359.60052083334)</f>
        <v>44359.60052</v>
      </c>
      <c r="L20" s="5" t="str">
        <f>IFERROR(__xludf.DUMMYFUNCTION("""COMPUTED_VALUE"""),"Ramsey robbed of an assist. Ramsey being robbed of assists I wanna cry. Ramsey should've score there. Imagine wales players knew how to head a wonderful ball in. Bale and Ramsey put 2 unbelievable crossed in and no fucker trying to score.")</f>
        <v>Ramsey robbed of an assist. Ramsey being robbed of assists I wanna cry. Ramsey should've score there. Imagine wales players knew how to head a wonderful ball in. Bale and Ramsey put 2 unbelievable crossed in and no fucker trying to score.</v>
      </c>
      <c r="M20" s="39" t="s">
        <v>18</v>
      </c>
      <c r="N20" s="40">
        <f>IFERROR(__xludf.DUMMYFUNCTION("""COMPUTED_VALUE"""),44359.61377314814)</f>
        <v>44359.61377</v>
      </c>
      <c r="O20" s="5" t="str">
        <f>IFERROR(__xludf.DUMMYFUNCTION("""COMPUTED_VALUE"""),"Where was this Wales side in the first half?! #WALSUI. Bale’s not even half the player from 2016. Embolo looks half about tbf. 2nd half very enjoyable than the 1st….. #WALSUI EURO 2020. The first half of this match vs The second half of this match 🤣🤣 #W"&amp;"ALSWI EURO 2020.")</f>
        <v>Where was this Wales side in the first half?! #WALSUI. Bale’s not even half the player from 2016. Embolo looks half about tbf. 2nd half very enjoyable than the 1st….. #WALSUI EURO 2020. The first half of this match vs The second half of this match 🤣🤣 #WALSWI EURO 2020.</v>
      </c>
      <c r="P20" s="39" t="s">
        <v>18</v>
      </c>
      <c r="Q20" s="40">
        <f>IFERROR(__xludf.DUMMYFUNCTION("""COMPUTED_VALUE"""),44359.59649305556)</f>
        <v>44359.59649</v>
      </c>
      <c r="R20" s="5" t="str">
        <f>IFERROR(__xludf.DUMMYFUNCTION("""COMPUTED_VALUE"""),"What a ball from bale to james. Cross from James, Connor Roberts manages to get on the end of it but Schär gets in the way of the shot. 0-1 (59) Loool bale only wants to pass to James. He knows. Bale’s cross field passes are quality EURO 2020. Embolo be s"&amp;"trong pass Thanos.👿.")</f>
        <v>What a ball from bale to james. Cross from James, Connor Roberts manages to get on the end of it but Schär gets in the way of the shot. 0-1 (59) Loool bale only wants to pass to James. He knows. Bale’s cross field passes are quality EURO 2020. Embolo be strong pass Thanos.👿.</v>
      </c>
      <c r="S20" s="39" t="s">
        <v>18</v>
      </c>
      <c r="V20" s="5"/>
      <c r="Y20" s="5"/>
      <c r="AB20" s="5"/>
      <c r="AE20" s="5"/>
      <c r="AH20" s="5"/>
      <c r="AK20" s="5"/>
      <c r="AL20" s="40"/>
      <c r="AM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3</v>
      </c>
      <c r="D21" s="26">
        <f>IFERROR(__xludf.DUMMYFUNCTION("IF(C21, COUNTIF(FILTER($D$26:$D1007, $A$26:$A1007=A21), TRUE)/C21, 0)"),0.6666666666666666)</f>
        <v>0.6666666667</v>
      </c>
      <c r="E21" s="40">
        <f>IFERROR(__xludf.DUMMYFUNCTION("""COMPUTED_VALUE"""),44359.594305555554)</f>
        <v>44359.59431</v>
      </c>
      <c r="F21" s="5" t="str">
        <f>IFERROR(__xludf.DUMMYFUNCTION("""COMPUTED_VALUE"""),"MBABU IS WEARING ANKLE SOCKS IN A FOOTBALL GAME???? If literally every wales fan can see ampadu morrell and cabango mepham why can’t the actual football manager see it. Embolo the Football Manager legend... Who else knew Mbabu from Football manager??😂.")</f>
        <v>MBABU IS WEARING ANKLE SOCKS IN A FOOTBALL GAME???? If literally every wales fan can see ampadu morrell and cabango mepham why can’t the actual football manager see it. Embolo the Football Manager legend... Who else knew Mbabu from Football manager??😂.</v>
      </c>
      <c r="G21" s="39" t="s">
        <v>15</v>
      </c>
      <c r="H21" s="40">
        <f>IFERROR(__xludf.DUMMYFUNCTION("""COMPUTED_VALUE"""),44359.604571759264)</f>
        <v>44359.60457</v>
      </c>
      <c r="I21" s="5" t="str">
        <f>IFERROR(__xludf.DUMMYFUNCTION("""COMPUTED_VALUE"""),"How this Keifer Moore guy take get call up sef? Players don finish for Wales??? I'd take Bale off. Penaldo taking notes on this Seferovic disasterclass and learning new ways to fraud and get carried.. And again worst player on the pitch Kieffer Moore. Wal"&amp;"es 🏴󠁧󠁢󠁷󠁬󠁳󠁿.")</f>
        <v>How this Keifer Moore guy take get call up sef? Players don finish for Wales??? I'd take Bale off. Penaldo taking notes on this Seferovic disasterclass and learning new ways to fraud and get carried.. And again worst player on the pitch Kieffer Moore. Wales 🏴󠁧󠁢󠁷󠁬󠁳󠁿.</v>
      </c>
      <c r="J21" s="39" t="s">
        <v>16</v>
      </c>
      <c r="K21" s="40">
        <f>IFERROR(__xludf.DUMMYFUNCTION("""COMPUTED_VALUE"""),44359.60667824074)</f>
        <v>44359.60668</v>
      </c>
      <c r="L21" s="5" t="str">
        <f>IFERROR(__xludf.DUMMYFUNCTION("""COMPUTED_VALUE"""),"Get fuckin in!!! Moore you absolute beauty!. Finally some flair and passion and we score. I think Kieffer Moore deserved a goal only because BBC commentary referred to him by his full name KIEFFER MOORE like 90000 times? Big goal for Wales, great header b"&amp;"y Moore! EURO 2020.")</f>
        <v>Get fuckin in!!! Moore you absolute beauty!. Finally some flair and passion and we score. I think Kieffer Moore deserved a goal only because BBC commentary referred to him by his full name KIEFFER MOORE like 90000 times? Big goal for Wales, great header by Moore! EURO 2020.</v>
      </c>
      <c r="M21" s="39" t="s">
        <v>17</v>
      </c>
      <c r="N21" s="40">
        <f>IFERROR(__xludf.DUMMYFUNCTION("""COMPUTED_VALUE"""),44359.61578703704)</f>
        <v>44359.61579</v>
      </c>
      <c r="O21" s="5" t="str">
        <f>IFERROR(__xludf.DUMMYFUNCTION("""COMPUTED_VALUE"""),"Superb assist from Embolo. Switzerland leads 2-1 or VAR. THE SUB!!!! #SUI. (VAR pending?) How did that take more than 1 second for VAR and how did the linesman miss it. EURO 2020. Takes tv companies seconds to work out a offside but it take VAR a lifetime"&amp;" 🙄 EURO 2020 #walswi.")</f>
        <v>Superb assist from Embolo. Switzerland leads 2-1 or VAR. THE SUB!!!! #SUI. (VAR pending?) How did that take more than 1 second for VAR and how did the linesman miss it. EURO 2020. Takes tv companies seconds to work out a offside but it take VAR a lifetime 🙄 EURO 2020 #walswi.</v>
      </c>
      <c r="P21" s="39" t="s">
        <v>17</v>
      </c>
      <c r="Q21" s="40">
        <f>IFERROR(__xludf.DUMMYFUNCTION("""COMPUTED_VALUE"""),44359.599745370375)</f>
        <v>44359.59975</v>
      </c>
      <c r="R21" s="5" t="str">
        <f>IFERROR(__xludf.DUMMYFUNCTION("""COMPUTED_VALUE"""),"Mbabu won the ball cleanly how is that a foul? That was the harshest yellow for Mbabu. He got the ball.... Free kick to Wales and a yellow card for Mbabu after he has the audacity to win the ball. What a ball from Ramsey... Any chance???")</f>
        <v>Mbabu won the ball cleanly how is that a foul? That was the harshest yellow for Mbabu. He got the ball.... Free kick to Wales and a yellow card for Mbabu after he has the audacity to win the ball. What a ball from Ramsey... Any chance???</v>
      </c>
      <c r="S21" s="39" t="s">
        <v>17</v>
      </c>
      <c r="V21" s="5"/>
      <c r="Y21" s="5"/>
      <c r="AB21" s="5"/>
      <c r="AE21" s="5"/>
      <c r="AH21" s="5"/>
      <c r="AK21" s="5"/>
      <c r="AL21" s="40"/>
      <c r="AM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0)"),0.75)</f>
        <v>0.75</v>
      </c>
      <c r="E22" s="40">
        <f>IFERROR(__xludf.DUMMYFUNCTION("""COMPUTED_VALUE"""),44359.5955324074)</f>
        <v>44359.59553</v>
      </c>
      <c r="F22" s="5" t="str">
        <f>IFERROR(__xludf.DUMMYFUNCTION("""COMPUTED_VALUE"""),"I FUCKING LOVE THE FOOTBALL EURO 2020. Mepham isn’t a footballer is he. I'd rather watch Shakira play football than Shaqiri Euros 2021. Daniel James is winning the mbabu battle. Unbelievable news! Joe Morrell plays to the ability of a League 1 player.")</f>
        <v>I FUCKING LOVE THE FOOTBALL EURO 2020. Mepham isn’t a footballer is he. I'd rather watch Shakira play football than Shaqiri Euros 2021. Daniel James is winning the mbabu battle. Unbelievable news! Joe Morrell plays to the ability of a League 1 player.</v>
      </c>
      <c r="G22" s="39" t="s">
        <v>16</v>
      </c>
      <c r="H22" s="40">
        <f>IFERROR(__xludf.DUMMYFUNCTION("""COMPUTED_VALUE"""),44359.607141203705)</f>
        <v>44359.60714</v>
      </c>
      <c r="I22" s="5" t="str">
        <f>IFERROR(__xludf.DUMMYFUNCTION("""COMPUTED_VALUE"""),"As I was saying, take Kiefer Moore off. Moore is a reyt player btw. Kieffer Moore some player to be fair to him. We so don't deserve that but I'll take it. That's the quality of Kieffer Moore! Best player in red scores. Nice header Moore ⚽️⚽️. #WALSWI #wa"&amp;"l.")</f>
        <v>As I was saying, take Kiefer Moore off. Moore is a reyt player btw. Kieffer Moore some player to be fair to him. We so don't deserve that but I'll take it. That's the quality of Kieffer Moore! Best player in red scores. Nice header Moore ⚽️⚽️. #WALSWI #wal.</v>
      </c>
      <c r="J22" s="39" t="s">
        <v>17</v>
      </c>
      <c r="K22" s="40">
        <f>IFERROR(__xludf.DUMMYFUNCTION("""COMPUTED_VALUE"""),44359.61009259259)</f>
        <v>44359.61009</v>
      </c>
      <c r="L22" s="5" t="str">
        <f>IFERROR(__xludf.DUMMYFUNCTION("""COMPUTED_VALUE"""),"#WAL are back in it! Kieffer Moore with the equaliser. Game on!. EURO 202.. The Swiss manager before Wales equalised. EURO 2020 #football. Finally an equaliser by Moore for Wales. EURO 2020. Switzerland went to sleep for a sec, good equaliser from Wales #"&amp;"WALSUI.")</f>
        <v>#WAL are back in it! Kieffer Moore with the equaliser. Game on!. EURO 202.. The Swiss manager before Wales equalised. EURO 2020 #football. Finally an equaliser by Moore for Wales. EURO 2020. Switzerland went to sleep for a sec, good equaliser from Wales #WALSUI.</v>
      </c>
      <c r="M22" s="39" t="s">
        <v>14</v>
      </c>
      <c r="N22" s="40">
        <f>IFERROR(__xludf.DUMMYFUNCTION("""COMPUTED_VALUE"""),44359.61991898148)</f>
        <v>44359.61992</v>
      </c>
      <c r="O22" s="5" t="str">
        <f>IFERROR(__xludf.DUMMYFUNCTION("""COMPUTED_VALUE"""),"Two excellent saves from Ward in the final minutes to keep a point for #WAL The offside flag was up for the second one, but still. Danny Ward been doing a madness this half. Danny ward needs to play first team football. Danny Ward needs a fucking knightho"&amp;"od.")</f>
        <v>Two excellent saves from Ward in the final minutes to keep a point for #WAL The offside flag was up for the second one, but still. Danny Ward been doing a madness this half. Danny ward needs to play first team football. Danny Ward needs a fucking knighthood.</v>
      </c>
      <c r="P22" s="39" t="s">
        <v>17</v>
      </c>
      <c r="Q22" s="40">
        <f>IFERROR(__xludf.DUMMYFUNCTION("""COMPUTED_VALUE"""),44359.603055555555)</f>
        <v>44359.60306</v>
      </c>
      <c r="R22" s="5" t="str">
        <f>IFERROR(__xludf.DUMMYFUNCTION("""COMPUTED_VALUE"""),"Stars of day one: ▪️#ITA. ▪️The little car that brings the match ball out. EURO 2020.")</f>
        <v>Stars of day one: ▪️#ITA. ▪️The little car that brings the match ball out. EURO 2020.</v>
      </c>
      <c r="S22" s="39" t="s">
        <v>15</v>
      </c>
      <c r="V22" s="5"/>
      <c r="Y22" s="5"/>
      <c r="AB22" s="5"/>
      <c r="AE22" s="5"/>
      <c r="AH22" s="5"/>
      <c r="AK22" s="5"/>
      <c r="AL22" s="40"/>
      <c r="AM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4</v>
      </c>
      <c r="D23" s="26">
        <f>IFERROR(__xludf.DUMMYFUNCTION("IF(C23, COUNTIF(FILTER($D$26:$D1007, $A$26:$A1007=A23), TRUE)/C23, 0)"),0.75)</f>
        <v>0.75</v>
      </c>
      <c r="E23" s="40">
        <f>IFERROR(__xludf.DUMMYFUNCTION("""COMPUTED_VALUE"""),44359.5968287037)</f>
        <v>44359.59683</v>
      </c>
      <c r="F23" s="5" t="str">
        <f>IFERROR(__xludf.DUMMYFUNCTION("""COMPUTED_VALUE"""),"James is the only man on the pitch for Wales who likes like he wants to get in that final third. #WAL. Daniel James is winning the mbabu battle. Who's winning this one? EURO 2020. What am I supposed to do between 4-5pm, and 7-8pm each day? 🥺 EURO 2020 #f"&amp;"ootball.")</f>
        <v>James is the only man on the pitch for Wales who likes like he wants to get in that final third. #WAL. Daniel James is winning the mbabu battle. Who's winning this one? EURO 2020. What am I supposed to do between 4-5pm, and 7-8pm each day? 🥺 EURO 2020 #football.</v>
      </c>
      <c r="G23" s="39" t="s">
        <v>18</v>
      </c>
      <c r="H23" s="40">
        <f>IFERROR(__xludf.DUMMYFUNCTION("""COMPUTED_VALUE"""),44359.608715277776)</f>
        <v>44359.60872</v>
      </c>
      <c r="I23" s="5" t="str">
        <f>IFERROR(__xludf.DUMMYFUNCTION("""COMPUTED_VALUE"""),"Shut up James, Brooks is a better player than you anyway. Why did Wales take out Daniel James he was there most productive player? I can't believe that Robert page has taken off Dan James. He's been there best player without a doubt.")</f>
        <v>Shut up James, Brooks is a better player than you anyway. Why did Wales take out Daniel James he was there most productive player? I can't believe that Robert page has taken off Dan James. He's been there best player without a doubt.</v>
      </c>
      <c r="J23" s="39" t="s">
        <v>17</v>
      </c>
      <c r="K23" s="40">
        <f>IFERROR(__xludf.DUMMYFUNCTION("""COMPUTED_VALUE"""),44359.613530092596)</f>
        <v>44359.61353</v>
      </c>
      <c r="L23" s="5" t="str">
        <f>IFERROR(__xludf.DUMMYFUNCTION("""COMPUTED_VALUE"""),"Ramsey is scoring the winner truss. The Bale Ramsey combo prolly got a goal in this game🙏🏾. That would've been classic Ramsey goal maynnn. Ooof Ramsey almost catching that and scoring. Swiss have lost all momentum since Shaq was subbed off. Ramsey will "&amp;"score the winner EURO 2020.")</f>
        <v>Ramsey is scoring the winner truss. The Bale Ramsey combo prolly got a goal in this game🙏🏾. That would've been classic Ramsey goal maynnn. Ooof Ramsey almost catching that and scoring. Swiss have lost all momentum since Shaq was subbed off. Ramsey will score the winner EURO 2020.</v>
      </c>
      <c r="M23" s="39" t="s">
        <v>18</v>
      </c>
      <c r="P23" s="5"/>
      <c r="Q23" s="40">
        <f>IFERROR(__xludf.DUMMYFUNCTION("""COMPUTED_VALUE"""),44359.60766203704)</f>
        <v>44359.60766</v>
      </c>
      <c r="R23" s="5" t="str">
        <f>IFERROR(__xludf.DUMMYFUNCTION("""COMPUTED_VALUE"""),"KIEFFER MOORE EQUALISES! TALISMAN GETS ON THE END OF A CROSS WITH HIS HEAD! #WAL 1-1 #SUI. Cracking cross and lovely header from Kieffer Moore that 🙌 #WAL. Kieffer Moore lives to head the ball. Kieffer Moore scoring from crosses in red - some things neve"&amp;"r change! 🥺🥺. #WAFC.")</f>
        <v>KIEFFER MOORE EQUALISES! TALISMAN GETS ON THE END OF A CROSS WITH HIS HEAD! #WAL 1-1 #SUI. Cracking cross and lovely header from Kieffer Moore that 🙌 #WAL. Kieffer Moore lives to head the ball. Kieffer Moore scoring from crosses in red - some things never change! 🥺🥺. #WAFC.</v>
      </c>
      <c r="S23" s="39" t="s">
        <v>17</v>
      </c>
      <c r="V23" s="5"/>
      <c r="Y23" s="5"/>
      <c r="AB23" s="5"/>
      <c r="AE23" s="5"/>
      <c r="AH23" s="5"/>
      <c r="AK23" s="5"/>
      <c r="AL23" s="40"/>
      <c r="AM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14</v>
      </c>
      <c r="D24" s="26">
        <f>COUNTIF($D$26:$D1007, TRUE)/C24</f>
        <v>0.7857142857</v>
      </c>
      <c r="E24" s="40">
        <f>IFERROR(__xludf.DUMMYFUNCTION("""COMPUTED_VALUE"""),44359.59962962963)</f>
        <v>44359.59963</v>
      </c>
      <c r="F24" s="5" t="str">
        <f>IFERROR(__xludf.DUMMYFUNCTION("""COMPUTED_VALUE"""),"#WALSUI nice start to the football day. That was an incredible win from the #SUI player EURO 2020. If that is a yellow for Mbabu, football is dead. Mbabu booked for tackling and winning the ball. Game's gone. Perfect tackle, yellow card…Modern football 🙄"&amp;" #WALSWI EURO 2020.")</f>
        <v>#WALSUI nice start to the football day. That was an incredible win from the #SUI player EURO 2020. If that is a yellow for Mbabu, football is dead. Mbabu booked for tackling and winning the ball. Game's gone. Perfect tackle, yellow card…Modern football 🙄 #WALSWI EURO 2020.</v>
      </c>
      <c r="G24" s="39" t="s">
        <v>17</v>
      </c>
      <c r="H24" s="40">
        <f>IFERROR(__xludf.DUMMYFUNCTION("""COMPUTED_VALUE"""),44359.61273148148)</f>
        <v>44359.61273</v>
      </c>
      <c r="I24" s="5" t="str">
        <f>IFERROR(__xludf.DUMMYFUNCTION("""COMPUTED_VALUE"""),"Bale taking throw ins dkm. Gareth Bale taking a long throw is so weird. I never knew Bale could take a throw in like that 😳 #WALSWI EURO 2020. Bale taking throw ins bringing back those Kane taking corner vibes.")</f>
        <v>Bale taking throw ins dkm. Gareth Bale taking a long throw is so weird. I never knew Bale could take a throw in like that 😳 #WALSWI EURO 2020. Bale taking throw ins bringing back those Kane taking corner vibes.</v>
      </c>
      <c r="J24" s="39" t="s">
        <v>18</v>
      </c>
      <c r="K24" s="40">
        <f>IFERROR(__xludf.DUMMYFUNCTION("""COMPUTED_VALUE"""),44359.614699074074)</f>
        <v>44359.6147</v>
      </c>
      <c r="L24" s="5" t="str">
        <f>IFERROR(__xludf.DUMMYFUNCTION("""COMPUTED_VALUE"""),"What a decent match this has turned out to be.. Even if that goal was offside. 😂😂 EURO 2020. #SUI are back in front, however that is surely offside. Don’t need the lines to see he’s miles offside there EURO 2020. What a sub that would be if it wasn't of"&amp;"fside EURO 2020.")</f>
        <v>What a decent match this has turned out to be.. Even if that goal was offside. 😂😂 EURO 2020. #SUI are back in front, however that is surely offside. Don’t need the lines to see he’s miles offside there EURO 2020. What a sub that would be if it wasn't offside EURO 2020.</v>
      </c>
      <c r="M24" s="39" t="s">
        <v>17</v>
      </c>
      <c r="P24" s="5"/>
      <c r="Q24" s="40">
        <f>IFERROR(__xludf.DUMMYFUNCTION("""COMPUTED_VALUE"""),44359.609201388885)</f>
        <v>44359.6092</v>
      </c>
      <c r="R24" s="5" t="str">
        <f>IFERROR(__xludf.DUMMYFUNCTION("""COMPUTED_VALUE"""),"What a freaking ball by Zakaria. What a cross embolo should be scoring that. That ball from Zakaria 🤤🤤. Switzerland come again, Zakaria at the back door and puts a great ball back in but the offside flag went up against Embolo. 1-1 (78) What a cross fro"&amp;"m the zakaria.")</f>
        <v>What a freaking ball by Zakaria. What a cross embolo should be scoring that. That ball from Zakaria 🤤🤤. Switzerland come again, Zakaria at the back door and puts a great ball back in but the offside flag went up against Embolo. 1-1 (78) What a cross from the zakaria.</v>
      </c>
      <c r="S24" s="39" t="s">
        <v>18</v>
      </c>
      <c r="V24" s="5"/>
      <c r="Y24" s="5"/>
      <c r="AB24" s="5"/>
      <c r="AE24" s="5"/>
      <c r="AH24" s="5"/>
      <c r="AK24" s="5"/>
      <c r="AL24" s="40"/>
      <c r="AM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E25" s="40">
        <f>IFERROR(__xludf.DUMMYFUNCTION("""COMPUTED_VALUE"""),44359.60193287037)</f>
        <v>44359.60193</v>
      </c>
      <c r="F25" s="5" t="str">
        <f>IFERROR(__xludf.DUMMYFUNCTION("""COMPUTED_VALUE"""),"62' Mbabu booked for winning the ball. Gareth Bale is washed dont let Premier League PR fool you, we need to apply Premier league tax. I would say Breel Embolo will be a very good Premier League player. 🏴󠁧󠁢󠁷󠁬󠁳󠁿🆚🇨🇭 THE winning goal? ⚽️ Embolo. EU"&amp;"RO 2020.")</f>
        <v>62' Mbabu booked for winning the ball. Gareth Bale is washed dont let Premier League PR fool you, we need to apply Premier league tax. I would say Breel Embolo will be a very good Premier League player. 🏴󠁧󠁢󠁷󠁬󠁳󠁿🆚🇨🇭 THE winning goal? ⚽️ Embolo. EURO 2020.</v>
      </c>
      <c r="G25" s="39" t="s">
        <v>14</v>
      </c>
      <c r="H25" s="40">
        <f>IFERROR(__xludf.DUMMYFUNCTION("""COMPUTED_VALUE"""),44359.61519675926)</f>
        <v>44359.6152</v>
      </c>
      <c r="I25" s="5" t="str">
        <f>IFERROR(__xludf.DUMMYFUNCTION("""COMPUTED_VALUE"""),"The Switzerland players celebrating that goal as if VAR never existed. #walsui. VAR taking Embolo’s G/A away. How does it take VAR this long to see what took us 3 seconds!? Madness EURO 2020. Why did that VAR check take so long!? 😂 #WAL #WALSWI.")</f>
        <v>The Switzerland players celebrating that goal as if VAR never existed. #walsui. VAR taking Embolo’s G/A away. How does it take VAR this long to see what took us 3 seconds!? Madness EURO 2020. Why did that VAR check take so long!? 😂 #WAL #WALSWI.</v>
      </c>
      <c r="J25" s="39" t="s">
        <v>17</v>
      </c>
      <c r="K25" s="40">
        <f>IFERROR(__xludf.DUMMYFUNCTION("""COMPUTED_VALUE"""),44359.61851851852)</f>
        <v>44359.61852</v>
      </c>
      <c r="L25" s="5" t="str">
        <f>IFERROR(__xludf.DUMMYFUNCTION("""COMPUTED_VALUE"""),"GOAL! Wales 1-1 Switzerland (Moore 75').. EURO 2020. 📸 Kieffer Moore nets the equaliser in Baku ⚽️. EURO 2020. Keiffer Moore has more goals at EURO 2020 than Cristiano Ronaldo 👀 #WAL. 🏴󠁧󠁢󠁷󠁬󠁳󠁿🆚🇨🇭 Drop a GIF 📱👇 to react to Kieffer Moore's equa"&amp;"liser... EURO 2020.")</f>
        <v>GOAL! Wales 1-1 Switzerland (Moore 75').. EURO 2020. 📸 Kieffer Moore nets the equaliser in Baku ⚽️. EURO 2020. Keiffer Moore has more goals at EURO 2020 than Cristiano Ronaldo 👀 #WAL. 🏴󠁧󠁢󠁷󠁬󠁳󠁿🆚🇨🇭 Drop a GIF 📱👇 to react to Kieffer Moore's equaliser... EURO 2020.</v>
      </c>
      <c r="M25" s="39" t="s">
        <v>14</v>
      </c>
      <c r="P25" s="5"/>
      <c r="Q25" s="40">
        <f>IFERROR(__xludf.DUMMYFUNCTION("""COMPUTED_VALUE"""),44359.610821759255)</f>
        <v>44359.61082</v>
      </c>
      <c r="R25" s="5" t="str">
        <f>IFERROR(__xludf.DUMMYFUNCTION("""COMPUTED_VALUE"""),"Ben Davies can’t cross 🤦🏻‍♂️🏴󠁧󠁢󠁷󠁬󠁳󠁿. Ben Davies needs to stop kicking the ball. Even if Ben Davies plays for Macedonia he should never touch an international tournament. Ben Davies just absolutely hammering every ball. Not sure why. #WALSUI.")</f>
        <v>Ben Davies can’t cross 🤦🏻‍♂️🏴󠁧󠁢󠁷󠁬󠁳󠁿. Ben Davies needs to stop kicking the ball. Even if Ben Davies plays for Macedonia he should never touch an international tournament. Ben Davies just absolutely hammering every ball. Not sure why. #WALSUI.</v>
      </c>
      <c r="S25" s="39" t="s">
        <v>18</v>
      </c>
      <c r="V25" s="5"/>
      <c r="Y25" s="5"/>
      <c r="AB25" s="5"/>
      <c r="AE25" s="5"/>
      <c r="AH25" s="5"/>
      <c r="AK25" s="5"/>
      <c r="AL25" s="40"/>
      <c r="AM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1</v>
      </c>
      <c r="E26" s="40">
        <f>IFERROR(__xludf.DUMMYFUNCTION("""COMPUTED_VALUE"""),44359.605844907404)</f>
        <v>44359.60584</v>
      </c>
      <c r="F26" s="5" t="str">
        <f>IFERROR(__xludf.DUMMYFUNCTION("""COMPUTED_VALUE"""),"Football is just a hobby for Bale #WALSUI. Joe Allen has absolutely stole a football career 🤯💩. A goal for Football Manager players everywhere 👌. EURO 2020 #WALSUI.. Wales would've been winning if Bale was playing. Ben Davies is a remarkably shit footb"&amp;"aller.")</f>
        <v>Football is just a hobby for Bale #WALSUI. Joe Allen has absolutely stole a football career 🤯💩. A goal for Football Manager players everywhere 👌. EURO 2020 #WALSUI.. Wales would've been winning if Bale was playing. Ben Davies is a remarkably shit footballer.</v>
      </c>
      <c r="G26" s="39" t="s">
        <v>16</v>
      </c>
      <c r="H26" s="40">
        <f>IFERROR(__xludf.DUMMYFUNCTION("""COMPUTED_VALUE"""),44359.61655092593)</f>
        <v>44359.61655</v>
      </c>
      <c r="I26" s="5" t="str">
        <f>IFERROR(__xludf.DUMMYFUNCTION("""COMPUTED_VALUE"""),"OFFSIDE. Why did they take so long over that? #WAL. Could see that was offside, had three beers, cooked a beef dinner and half asleep, why did it take so long #WALSUI. How did VAR take so long to check that when the majority of people seen it was offside "&amp;"in real time #WALSUI.")</f>
        <v>OFFSIDE. Why did they take so long over that? #WAL. Could see that was offside, had three beers, cooked a beef dinner and half asleep, why did it take so long #WALSUI. How did VAR take so long to check that when the majority of people seen it was offside in real time #WALSUI.</v>
      </c>
      <c r="J26" s="39" t="s">
        <v>18</v>
      </c>
      <c r="M26" s="5"/>
      <c r="P26" s="5"/>
      <c r="Q26" s="40">
        <f>IFERROR(__xludf.DUMMYFUNCTION("""COMPUTED_VALUE"""),44359.61288194444)</f>
        <v>44359.61288</v>
      </c>
      <c r="R26" s="5" t="str">
        <f>IFERROR(__xludf.DUMMYFUNCTION("""COMPUTED_VALUE"""),"What a cross by Brooks there. Some ball that in by Brooks. Lovely ball by ramsey. Ramsey half a yard from making contact, lovely ball across from Brooks. Aaron Ramsey would score loads of goals arriving late into the box if he had Tierney whipping in cros"&amp;"ses for him.")</f>
        <v>What a cross by Brooks there. Some ball that in by Brooks. Lovely ball by ramsey. Ramsey half a yard from making contact, lovely ball across from Brooks. Aaron Ramsey would score loads of goals arriving late into the box if he had Tierney whipping in crosses for him.</v>
      </c>
      <c r="S26" s="39" t="s">
        <v>18</v>
      </c>
      <c r="V26" s="5"/>
      <c r="Y26" s="5"/>
      <c r="AB26" s="5"/>
      <c r="AE26" s="5"/>
      <c r="AH26" s="5"/>
      <c r="AK26" s="5"/>
      <c r="AL26" s="40"/>
      <c r="AM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49</v>
      </c>
      <c r="B27" s="19" t="s">
        <v>341</v>
      </c>
      <c r="C27" s="21">
        <v>30.0</v>
      </c>
      <c r="D27" s="35" t="b">
        <v>0</v>
      </c>
      <c r="E27" s="40">
        <f>IFERROR(__xludf.DUMMYFUNCTION("""COMPUTED_VALUE"""),44359.606944444444)</f>
        <v>44359.60694</v>
      </c>
      <c r="F27" s="5" t="str">
        <f>IFERROR(__xludf.DUMMYFUNCTION("""COMPUTED_VALUE"""),"Wales can finally celebrate as key man keifer Moore equalises for Wales 🏴󠁧󠁢󠁷󠁬󠁳󠁿 EURO 2020. Get fuckin in!!! Moore you absolute beauty!. Finally some flair and passion and we score. What a bloody header! One Moore of those and you’ll win! #WAL.")</f>
        <v>Wales can finally celebrate as key man keifer Moore equalises for Wales 🏴󠁧󠁢󠁷󠁬󠁳󠁿 EURO 2020. Get fuckin in!!! Moore you absolute beauty!. Finally some flair and passion and we score. What a bloody header! One Moore of those and you’ll win! #WAL.</v>
      </c>
      <c r="G27" s="39" t="s">
        <v>17</v>
      </c>
      <c r="H27" s="40">
        <f>IFERROR(__xludf.DUMMYFUNCTION("""COMPUTED_VALUE"""),44359.61759259259)</f>
        <v>44359.61759</v>
      </c>
      <c r="I27" s="5" t="str">
        <f>IFERROR(__xludf.DUMMYFUNCTION("""COMPUTED_VALUE"""),"Ruled out but once again great play from Embolo, best player on the pitch today. Embolo is one of those players that will excel in tournaments but go and buy and see 😂😂 Betway At 5. Embolo for player of the year #embolo. Embolo. Top player. steven sandb"&amp;"ach football manager legend.")</f>
        <v>Ruled out but once again great play from Embolo, best player on the pitch today. Embolo is one of those players that will excel in tournaments but go and buy and see 😂😂 Betway At 5. Embolo for player of the year #embolo. Embolo. Top player. steven sandbach football manager legend.</v>
      </c>
      <c r="J27" s="39" t="s">
        <v>18</v>
      </c>
      <c r="M27" s="5"/>
      <c r="P27" s="5"/>
      <c r="Q27" s="40">
        <f>IFERROR(__xludf.DUMMYFUNCTION("""COMPUTED_VALUE"""),44359.61454861111)</f>
        <v>44359.61455</v>
      </c>
      <c r="R27" s="5" t="str">
        <f>IFERROR(__xludf.DUMMYFUNCTION("""COMPUTED_VALUE"""),"Bale touched his bun more times than he touched the ball...🤦🏾‍♂️. GAVRANOVIC SCORES WITH HIS FIRST TOUCH! BUT I THINK ITS OFFSIDE! #WAL 1-2 #SUI??? Lhuk one touch, one goal? 👀 gavranovic. Good pass from Xhaka tbh. Offside though. Offside, but Embolo is"&amp;" balling.")</f>
        <v>Bale touched his bun more times than he touched the ball...🤦🏾‍♂️. GAVRANOVIC SCORES WITH HIS FIRST TOUCH! BUT I THINK ITS OFFSIDE! #WAL 1-2 #SUI??? Lhuk one touch, one goal? 👀 gavranovic. Good pass from Xhaka tbh. Offside though. Offside, but Embolo is balling.</v>
      </c>
      <c r="S27" s="39" t="s">
        <v>17</v>
      </c>
      <c r="V27" s="5"/>
      <c r="Y27" s="5"/>
      <c r="AB27" s="5"/>
      <c r="AE27" s="5"/>
      <c r="AH27" s="5"/>
      <c r="AK27" s="5"/>
      <c r="AL27" s="40"/>
      <c r="AM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51</v>
      </c>
      <c r="B28" s="19" t="s">
        <v>64</v>
      </c>
      <c r="C28" s="21">
        <v>45.0</v>
      </c>
      <c r="D28" s="35" t="b">
        <v>1</v>
      </c>
      <c r="E28" s="40">
        <f>IFERROR(__xludf.DUMMYFUNCTION("""COMPUTED_VALUE"""),44359.60805555555)</f>
        <v>44359.60806</v>
      </c>
      <c r="F28" s="5" t="str">
        <f>IFERROR(__xludf.DUMMYFUNCTION("""COMPUTED_VALUE"""),"Get in Wales, now to get Tyler Roberts on to win it 🏴󠁧󠁢󠁷󠁬󠁳󠁿. 1-1 - playing with a belief you can win !! #Wal get in !!! Get Kiefer Moore in the premier league. FINALLY! Get in there! #WALSUI. Get Levitt on and go for the win.")</f>
        <v>Get in Wales, now to get Tyler Roberts on to win it 🏴󠁧󠁢󠁷󠁬󠁳󠁿. 1-1 - playing with a belief you can win !! #Wal get in !!! Get Kiefer Moore in the premier league. FINALLY! Get in there! #WALSUI. Get Levitt on and go for the win.</v>
      </c>
      <c r="G28" s="39" t="s">
        <v>14</v>
      </c>
      <c r="H28" s="40">
        <f>IFERROR(__xludf.DUMMYFUNCTION("""COMPUTED_VALUE"""),44359.619675925926)</f>
        <v>44359.61968</v>
      </c>
      <c r="I28" s="5" t="str">
        <f>IFERROR(__xludf.DUMMYFUNCTION("""COMPUTED_VALUE"""),"Danny Ward, what a player. Breel Embolo best player on the pitch for the Swiss and Danny Ward for Wales 🏴󠁧󠁢󠁷󠁬󠁳󠁿. Danny Ward is outstanding, sign Jim up someone he's too good to be a bench player. Danny Ward take a bow👏👏👏. Danny Ward take a bow. "&amp;"Some outstanding saves.")</f>
        <v>Danny Ward, what a player. Breel Embolo best player on the pitch for the Swiss and Danny Ward for Wales 🏴󠁧󠁢󠁷󠁬󠁳󠁿. Danny Ward is outstanding, sign Jim up someone he's too good to be a bench player. Danny Ward take a bow👏👏👏. Danny Ward take a bow. Some outstanding saves.</v>
      </c>
      <c r="J28" s="39" t="s">
        <v>16</v>
      </c>
      <c r="M28" s="5"/>
      <c r="P28" s="5"/>
      <c r="Q28" s="40">
        <f>IFERROR(__xludf.DUMMYFUNCTION("""COMPUTED_VALUE"""),44359.61678240741)</f>
        <v>44359.61678</v>
      </c>
      <c r="R28" s="5" t="str">
        <f>IFERROR(__xludf.DUMMYFUNCTION("""COMPUTED_VALUE"""),"VAR got that call was just a touch offside on that one... (85) - Gavranovic has the ball in the back of the net for Switzerland but VAR overturns it. #WALSUI.")</f>
        <v>VAR got that call was just a touch offside on that one... (85) - Gavranovic has the ball in the back of the net for Switzerland but VAR overturns it. #WALSUI.</v>
      </c>
      <c r="S28" s="39" t="s">
        <v>18</v>
      </c>
      <c r="V28" s="5"/>
      <c r="Y28" s="5"/>
      <c r="AB28" s="5"/>
      <c r="AE28" s="5"/>
      <c r="AH28" s="5"/>
      <c r="AK28" s="5"/>
      <c r="AL28" s="40"/>
      <c r="AM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51</v>
      </c>
      <c r="B29" s="19" t="s">
        <v>65</v>
      </c>
      <c r="C29" s="21">
        <v>45.0</v>
      </c>
      <c r="D29" s="35" t="b">
        <v>0</v>
      </c>
      <c r="E29" s="40">
        <f>IFERROR(__xludf.DUMMYFUNCTION("""COMPUTED_VALUE"""),44359.60996527778)</f>
        <v>44359.60997</v>
      </c>
      <c r="F29" s="5" t="str">
        <f>IFERROR(__xludf.DUMMYFUNCTION("""COMPUTED_VALUE"""),"Ben Davies isn’t a very good footballer. Now, we can we do everyone a favour and win this match pls 🥺 #wal. Ben Davies ruining football for me even when spurs aren’t playing😭🏴󠁧󠁢󠁷󠁬󠁳󠁿. Finally an equaliser by Moore for Wales. EURO 2020.")</f>
        <v>Ben Davies isn’t a very good footballer. Now, we can we do everyone a favour and win this match pls 🥺 #wal. Ben Davies ruining football for me even when spurs aren’t playing😭🏴󠁧󠁢󠁷󠁬󠁳󠁿. Finally an equaliser by Moore for Wales. EURO 2020.</v>
      </c>
      <c r="G29" s="39" t="s">
        <v>16</v>
      </c>
      <c r="H29" s="40">
        <f>IFERROR(__xludf.DUMMYFUNCTION("""COMPUTED_VALUE"""),44359.620729166665)</f>
        <v>44359.62073</v>
      </c>
      <c r="I29" s="5" t="str">
        <f>IFERROR(__xludf.DUMMYFUNCTION("""COMPUTED_VALUE"""),"Take a bow Aaron James Ramsey. Take Bale out... What a keeper Danny Ward is. Still hate Klopp for taking him back. This Welsh squad always take the piss with their team photos. #WAL 😂. WHY take Daniel James off. Craziest decision ever. Take THAT powerade"&amp;" cooler. Euro 2020.")</f>
        <v>Take a bow Aaron James Ramsey. Take Bale out... What a keeper Danny Ward is. Still hate Klopp for taking him back. This Welsh squad always take the piss with their team photos. #WAL 😂. WHY take Daniel James off. Craziest decision ever. Take THAT powerade cooler. Euro 2020.</v>
      </c>
      <c r="J29" s="39" t="s">
        <v>16</v>
      </c>
      <c r="M29" s="5"/>
      <c r="P29" s="5"/>
      <c r="Q29" s="40">
        <f>IFERROR(__xludf.DUMMYFUNCTION("""COMPUTED_VALUE"""),44359.61785879629)</f>
        <v>44359.61786</v>
      </c>
      <c r="R29" s="5" t="str">
        <f>IFERROR(__xludf.DUMMYFUNCTION("""COMPUTED_VALUE"""),"Why a DM with no ability on the ball so high up the pitch?? Zakaria should be deeper. Lol that ball was way too heavy from Embolo, could’ve put Zakaria through on goal. Tell you what, Zakaria ball distribution is fantastic. Love him at CDM.")</f>
        <v>Why a DM with no ability on the ball so high up the pitch?? Zakaria should be deeper. Lol that ball was way too heavy from Embolo, could’ve put Zakaria through on goal. Tell you what, Zakaria ball distribution is fantastic. Love him at CDM.</v>
      </c>
      <c r="S29" s="39" t="s">
        <v>18</v>
      </c>
      <c r="V29" s="5"/>
      <c r="Y29" s="5"/>
      <c r="AB29" s="5"/>
      <c r="AE29" s="5"/>
      <c r="AH29" s="5"/>
      <c r="AK29" s="5"/>
      <c r="AL29" s="40"/>
      <c r="AM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49</v>
      </c>
      <c r="B30" s="19" t="s">
        <v>342</v>
      </c>
      <c r="C30" s="21">
        <v>47.0</v>
      </c>
      <c r="D30" s="35" t="b">
        <v>1</v>
      </c>
      <c r="E30" s="40">
        <f>IFERROR(__xludf.DUMMYFUNCTION("""COMPUTED_VALUE"""),44359.61106481482)</f>
        <v>44359.61106</v>
      </c>
      <c r="F30" s="5" t="str">
        <f>IFERROR(__xludf.DUMMYFUNCTION("""COMPUTED_VALUE"""),"Ben Davies is a horrific footballer. Ben Davies is a shocking footballer. Ben Davies is honestly an embarrassment to football. Ben Davies very poor at football. No wonder Spurs haven't won anything 😂😂😂. Bloody hell Ben Davies' final product has been aw"&amp;"ful #WALSUI EURO 2020.")</f>
        <v>Ben Davies is a horrific footballer. Ben Davies is a shocking footballer. Ben Davies is honestly an embarrassment to football. Ben Davies very poor at football. No wonder Spurs haven't won anything 😂😂😂. Bloody hell Ben Davies' final product has been awful #WALSUI EURO 2020.</v>
      </c>
      <c r="G30" s="39" t="s">
        <v>16</v>
      </c>
      <c r="J30" s="5"/>
      <c r="M30" s="5"/>
      <c r="P30" s="5"/>
      <c r="Q30" s="40">
        <f>IFERROR(__xludf.DUMMYFUNCTION("""COMPUTED_VALUE"""),44359.622083333335)</f>
        <v>44359.62208</v>
      </c>
      <c r="R30" s="5" t="str">
        <f>IFERROR(__xludf.DUMMYFUNCTION("""COMPUTED_VALUE"""),"Balls To The Ward... #WALSUI. Considering That The 4 bests third Will pass The turn, It's a Good draw for both! Wales Switzerland. EURO 2020. Everyone buy Danny Ward a pint on June 21st pass it on.")</f>
        <v>Balls To The Ward... #WALSUI. Considering That The 4 bests third Will pass The turn, It's a Good draw for both! Wales Switzerland. EURO 2020. Everyone buy Danny Ward a pint on June 21st pass it on.</v>
      </c>
      <c r="S30" s="39" t="s">
        <v>17</v>
      </c>
      <c r="V30" s="5"/>
      <c r="Y30" s="5"/>
      <c r="AB30" s="5"/>
      <c r="AE30" s="5"/>
      <c r="AH30" s="5"/>
      <c r="AK30" s="5"/>
      <c r="AL30" s="40"/>
      <c r="AM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47</v>
      </c>
      <c r="B31" s="42" t="s">
        <v>343</v>
      </c>
      <c r="C31" s="21">
        <v>49.0</v>
      </c>
      <c r="D31" s="35" t="b">
        <v>1</v>
      </c>
      <c r="E31" s="40">
        <f>IFERROR(__xludf.DUMMYFUNCTION("""COMPUTED_VALUE"""),44359.612164351856)</f>
        <v>44359.61216</v>
      </c>
      <c r="F31" s="5" t="str">
        <f>IFERROR(__xludf.DUMMYFUNCTION("""COMPUTED_VALUE"""),"Can Wales please score one Moore to win the match. Brooks has a sick final ball. Wales are finally really trying to go for this win EURO 2020. Wales have finally woken up. EURO 2020.")</f>
        <v>Can Wales please score one Moore to win the match. Brooks has a sick final ball. Wales are finally really trying to go for this win EURO 2020. Wales have finally woken up. EURO 2020.</v>
      </c>
      <c r="G31" s="39" t="s">
        <v>18</v>
      </c>
      <c r="J31" s="5"/>
      <c r="M31" s="5"/>
      <c r="P31" s="5"/>
      <c r="S31" s="5"/>
      <c r="V31" s="5"/>
      <c r="Y31" s="5"/>
      <c r="AB31" s="5"/>
      <c r="AE31" s="5"/>
      <c r="AH31" s="5"/>
      <c r="AK31" s="5"/>
      <c r="AL31" s="40"/>
      <c r="AM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49</v>
      </c>
      <c r="B32" s="42" t="s">
        <v>344</v>
      </c>
      <c r="C32" s="21">
        <v>63.0</v>
      </c>
      <c r="D32" s="35" t="b">
        <v>1</v>
      </c>
      <c r="E32" s="40">
        <f>IFERROR(__xludf.DUMMYFUNCTION("""COMPUTED_VALUE"""),44359.61347222222)</f>
        <v>44359.61347</v>
      </c>
      <c r="F32" s="5" t="str">
        <f>IFERROR(__xludf.DUMMYFUNCTION("""COMPUTED_VALUE"""),"From non-league in 2017, to a goalscorer at the EUROs... Kieffer Moore, what a story 👏. EURO 2020 #WAL.")</f>
        <v>From non-league in 2017, to a goalscorer at the EUROs... Kieffer Moore, what a story 👏. EURO 2020 #WAL.</v>
      </c>
      <c r="G32" s="39" t="s">
        <v>18</v>
      </c>
      <c r="J32" s="5"/>
      <c r="M32" s="5"/>
      <c r="P32" s="5"/>
      <c r="S32" s="5"/>
      <c r="V32" s="5"/>
      <c r="Y32" s="5"/>
      <c r="AB32" s="5"/>
      <c r="AE32" s="5"/>
      <c r="AH32" s="5"/>
      <c r="AK32" s="5"/>
      <c r="AL32" s="40"/>
      <c r="AM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53</v>
      </c>
      <c r="B33" s="42" t="s">
        <v>345</v>
      </c>
      <c r="C33" s="21">
        <v>66.0</v>
      </c>
      <c r="D33" s="35" t="b">
        <v>1</v>
      </c>
      <c r="E33" s="40">
        <f>IFERROR(__xludf.DUMMYFUNCTION("""COMPUTED_VALUE"""),44359.616388888884)</f>
        <v>44359.61639</v>
      </c>
      <c r="F33" s="5" t="str">
        <f>IFERROR(__xludf.DUMMYFUNCTION("""COMPUTED_VALUE"""),"Well done VAR! Finally it works! EURO 2020. I am actually wanting Wales to win (or at least draw) but inspire of that I hate VAR! We really need to get rid of it! #VAR EURO 2020. If Bale scores in the final minutes, I win peas. International Football Tour"&amp;"naments. Euro 2020.")</f>
        <v>Well done VAR! Finally it works! EURO 2020. I am actually wanting Wales to win (or at least draw) but inspire of that I hate VAR! We really need to get rid of it! #VAR EURO 2020. If Bale scores in the final minutes, I win peas. International Football Tournaments. Euro 2020.</v>
      </c>
      <c r="G33" s="39" t="s">
        <v>15</v>
      </c>
      <c r="J33" s="5"/>
      <c r="M33" s="5"/>
      <c r="P33" s="5"/>
      <c r="S33" s="5"/>
      <c r="V33" s="5"/>
      <c r="Y33" s="5"/>
      <c r="AB33" s="5"/>
      <c r="AE33" s="5"/>
      <c r="AH33" s="5"/>
      <c r="AK33" s="5"/>
      <c r="AL33" s="40"/>
      <c r="AM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47</v>
      </c>
      <c r="B34" s="42" t="s">
        <v>342</v>
      </c>
      <c r="C34" s="21">
        <v>74.0</v>
      </c>
      <c r="D34" s="35" t="b">
        <v>1</v>
      </c>
      <c r="E34" s="40">
        <f>IFERROR(__xludf.DUMMYFUNCTION("""COMPUTED_VALUE"""),44359.6181712963)</f>
        <v>44359.61817</v>
      </c>
      <c r="F34" s="5" t="str">
        <f>IFERROR(__xludf.DUMMYFUNCTION("""COMPUTED_VALUE"""),"Superb performance from Breel Embolo. Premier League transfer links surely incoming. Fair play there, should of been 4-1! Not gonna win much playing like that but fair play EURO 2020. Kieffer Moore was playing in the Vanarama National League during the la"&amp;"st Euros….")</f>
        <v>Superb performance from Breel Embolo. Premier League transfer links surely incoming. Fair play there, should of been 4-1! Not gonna win much playing like that but fair play EURO 2020. Kieffer Moore was playing in the Vanarama National League during the last Euros….</v>
      </c>
      <c r="G34" s="39" t="s">
        <v>18</v>
      </c>
      <c r="J34" s="5"/>
      <c r="M34" s="5"/>
      <c r="P34" s="5"/>
      <c r="S34" s="5"/>
      <c r="V34" s="5"/>
      <c r="Y34" s="5"/>
      <c r="AB34" s="5"/>
      <c r="AE34" s="5"/>
      <c r="AH34" s="5"/>
      <c r="AK34" s="5"/>
      <c r="AL34" s="40"/>
      <c r="AM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42" t="s">
        <v>346</v>
      </c>
      <c r="C35" s="21">
        <v>75.0</v>
      </c>
      <c r="D35" s="35" t="b">
        <v>1</v>
      </c>
      <c r="E35" s="40">
        <f>IFERROR(__xludf.DUMMYFUNCTION("""COMPUTED_VALUE"""),44359.61934027778)</f>
        <v>44359.61934</v>
      </c>
      <c r="F35" s="5" t="str">
        <f>IFERROR(__xludf.DUMMYFUNCTION("""COMPUTED_VALUE"""),"From non-league in 2017, to a goalscorer at the EUROs... Kieffer Moore, what a story. EURO 2020. #sui deserves to win this. Celtic Football Club im not saying sign danny ward but... This took a while but its finally alive #WALSWI EURO 2020.")</f>
        <v>From non-league in 2017, to a goalscorer at the EUROs... Kieffer Moore, what a story. EURO 2020. #sui deserves to win this. Celtic Football Club im not saying sign danny ward but... This took a while but its finally alive #WALSWI EURO 2020.</v>
      </c>
      <c r="G35" s="39" t="s">
        <v>14</v>
      </c>
      <c r="J35" s="5"/>
      <c r="M35" s="5"/>
      <c r="P35" s="5"/>
      <c r="S35" s="5"/>
      <c r="V35" s="5"/>
      <c r="Y35" s="5"/>
      <c r="AB35" s="5"/>
      <c r="AE35" s="5"/>
      <c r="AH35" s="5"/>
      <c r="AK35" s="5"/>
      <c r="AL35" s="40"/>
      <c r="AM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42" t="s">
        <v>347</v>
      </c>
      <c r="C36" s="21">
        <v>84.0</v>
      </c>
      <c r="D36" s="35" t="b">
        <v>0</v>
      </c>
      <c r="E36" s="40">
        <f>IFERROR(__xludf.DUMMYFUNCTION("""COMPUTED_VALUE"""),44359.62065972222)</f>
        <v>44359.62066</v>
      </c>
      <c r="F36" s="5" t="str">
        <f>IFERROR(__xludf.DUMMYFUNCTION("""COMPUTED_VALUE"""),"Danny ward has been exceptional today. but Switzerland should be winning. #WALSUI Gavranovic would be a class player if there was no offside rule in football. The 25% of Swiss in me is screaming for a winning goal #SUI. Wife ""How long is the Football on "&amp;"for?"" Me... EURO 2020.")</f>
        <v>Danny ward has been exceptional today. but Switzerland should be winning. #WALSUI Gavranovic would be a class player if there was no offside rule in football. The 25% of Swiss in me is screaming for a winning goal #SUI. Wife "How long is the Football on for?" Me... EURO 2020.</v>
      </c>
      <c r="G36" s="39" t="s">
        <v>18</v>
      </c>
      <c r="J36" s="5"/>
      <c r="M36" s="5"/>
      <c r="P36" s="5"/>
      <c r="S36" s="5"/>
      <c r="V36" s="5"/>
      <c r="Y36" s="5"/>
      <c r="AB36" s="5"/>
      <c r="AE36" s="5"/>
      <c r="AH36" s="5"/>
      <c r="AK36" s="5"/>
      <c r="AL36" s="40"/>
      <c r="AM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47</v>
      </c>
      <c r="B37" s="42" t="s">
        <v>348</v>
      </c>
      <c r="C37" s="21">
        <v>85.0</v>
      </c>
      <c r="D37" s="35" t="b">
        <v>1</v>
      </c>
      <c r="E37" s="40">
        <f>IFERROR(__xludf.DUMMYFUNCTION("""COMPUTED_VALUE"""),44359.62211805556)</f>
        <v>44359.62212</v>
      </c>
      <c r="F37" s="5" t="str">
        <f>IFERROR(__xludf.DUMMYFUNCTION("""COMPUTED_VALUE"""),"90 minutes of Gareth Bale going missing in a key game of football. Even though it's a draw this was a win for Wales #walsui. What a terrible game of football #WAL #SUI. Danny Ward hasn't played a league game since 2017. He's produced a masterclass for Wal"&amp;"es at Euro 2020! 🏴󠁧󠁢󠁷󠁬󠁳󠁿.")</f>
        <v>90 minutes of Gareth Bale going missing in a key game of football. Even though it's a draw this was a win for Wales #walsui. What a terrible game of football #WAL #SUI. Danny Ward hasn't played a league game since 2017. He's produced a masterclass for Wales at Euro 2020! 🏴󠁧󠁢󠁷󠁬󠁳󠁿.</v>
      </c>
      <c r="G37" s="39" t="s">
        <v>17</v>
      </c>
      <c r="J37" s="5"/>
      <c r="M37" s="5"/>
      <c r="P37" s="5"/>
      <c r="S37" s="5"/>
      <c r="V37" s="5"/>
      <c r="Y37" s="5"/>
      <c r="AB37" s="5"/>
      <c r="AE37" s="5"/>
      <c r="AH37" s="5"/>
      <c r="AK37" s="5"/>
      <c r="AL37" s="40"/>
      <c r="AM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42" t="s">
        <v>349</v>
      </c>
      <c r="C38" s="21">
        <v>93.0</v>
      </c>
      <c r="D38" s="35" t="b">
        <v>1</v>
      </c>
      <c r="E38" s="40">
        <f>IFERROR(__xludf.DUMMYFUNCTION("""COMPUTED_VALUE"""),44359.623506944445)</f>
        <v>44359.62351</v>
      </c>
      <c r="F38" s="5" t="str">
        <f>IFERROR(__xludf.DUMMYFUNCTION("""COMPUTED_VALUE"""),"Danny ward has been no.1 for a long time, glad roberto page finally stuck to his guns. what a display. Kieffer Moore was playing in the Vanarama National League during the last Euros…. Final. #WAL 1-1 #SUI. Final preparations ahead of #WALSUI ✅ EURO 2020.")</f>
        <v>Danny ward has been no.1 for a long time, glad roberto page finally stuck to his guns. what a display. Kieffer Moore was playing in the Vanarama National League during the last Euros…. Final. #WAL 1-1 #SUI. Final preparations ahead of #WALSUI ✅ EURO 2020.</v>
      </c>
      <c r="G38" s="5"/>
      <c r="J38" s="5"/>
      <c r="M38" s="5"/>
      <c r="P38" s="5"/>
      <c r="S38" s="5"/>
      <c r="V38" s="5"/>
      <c r="Y38" s="5"/>
      <c r="AB38" s="5"/>
      <c r="AE38" s="5"/>
      <c r="AH38" s="5"/>
      <c r="AK38" s="5"/>
      <c r="AL38" s="40"/>
      <c r="AM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51</v>
      </c>
      <c r="B39" s="42" t="s">
        <v>74</v>
      </c>
      <c r="C39" s="21">
        <v>90.0</v>
      </c>
      <c r="D39" s="35" t="b">
        <v>1</v>
      </c>
      <c r="G39" s="5"/>
      <c r="J39" s="5"/>
      <c r="M39" s="5"/>
      <c r="P39" s="5"/>
      <c r="S39" s="5"/>
      <c r="V39" s="5"/>
      <c r="Y39" s="5"/>
      <c r="AB39" s="5"/>
      <c r="AE39" s="5"/>
      <c r="AH39" s="5"/>
      <c r="AK39" s="5"/>
      <c r="AL39" s="40"/>
      <c r="AM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c r="B40" s="42"/>
      <c r="C40" s="21"/>
      <c r="D40" s="35"/>
      <c r="G40" s="5"/>
      <c r="J40" s="5"/>
      <c r="M40" s="5"/>
      <c r="P40" s="5"/>
      <c r="S40" s="5"/>
      <c r="V40" s="5"/>
      <c r="Y40" s="5"/>
      <c r="AB40" s="5"/>
      <c r="AE40" s="5"/>
      <c r="AH40" s="5"/>
      <c r="AK40" s="5"/>
      <c r="AL40" s="40"/>
      <c r="AM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G41" s="5"/>
      <c r="J41" s="5"/>
      <c r="M41" s="5"/>
      <c r="P41" s="5"/>
      <c r="S41" s="5"/>
      <c r="V41" s="5"/>
      <c r="Y41" s="5"/>
      <c r="AB41" s="5"/>
      <c r="AE41" s="5"/>
      <c r="AH41" s="5"/>
      <c r="AK41" s="5"/>
      <c r="AL41" s="40"/>
      <c r="AM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L42" s="40"/>
      <c r="AM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L43" s="40"/>
      <c r="AM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L44" s="40"/>
      <c r="AM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L45" s="40"/>
      <c r="AM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B46" s="36"/>
      <c r="C46" s="26"/>
      <c r="D46" s="19"/>
      <c r="G46" s="5"/>
      <c r="J46" s="5"/>
      <c r="M46" s="5"/>
      <c r="P46" s="5"/>
      <c r="S46" s="5"/>
      <c r="V46" s="5"/>
      <c r="Y46" s="5"/>
      <c r="AB46" s="5"/>
      <c r="AE46" s="5"/>
      <c r="AH46" s="5"/>
      <c r="AK46" s="5"/>
      <c r="AL46" s="40"/>
      <c r="AM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L47" s="40"/>
      <c r="AM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L48" s="40"/>
      <c r="AM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L49" s="40"/>
      <c r="AM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L50" s="40"/>
      <c r="AM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L51" s="40"/>
      <c r="AM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L52" s="40"/>
      <c r="AM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L53" s="40"/>
      <c r="AM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L54" s="40"/>
      <c r="AM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L55" s="40"/>
      <c r="AM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L56" s="40"/>
      <c r="AM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L57" s="40"/>
      <c r="AM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L58" s="40"/>
      <c r="AM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L59" s="40"/>
      <c r="AM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L60" s="40"/>
      <c r="AM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L61" s="40"/>
      <c r="AM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L62" s="40"/>
      <c r="AM62" s="5"/>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L63" s="40"/>
      <c r="AM63" s="5"/>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L64" s="40"/>
      <c r="AM64" s="5"/>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L65" s="40"/>
      <c r="AM65" s="5"/>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L66" s="40"/>
      <c r="AM66" s="5"/>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L67" s="40"/>
      <c r="AM67" s="5"/>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L68" s="40"/>
      <c r="AM68" s="5"/>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L69" s="40"/>
      <c r="AM69" s="5"/>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L70" s="40"/>
      <c r="AM70" s="5"/>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L71" s="40"/>
      <c r="AM71" s="5"/>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L72" s="40"/>
      <c r="AM72" s="5"/>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L73" s="40"/>
      <c r="AM73" s="5"/>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L74" s="40"/>
      <c r="AM74" s="5"/>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L75" s="40"/>
      <c r="AM75" s="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L76" s="40"/>
      <c r="AM76" s="5"/>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L77" s="40"/>
      <c r="AM77" s="5"/>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L78" s="40"/>
      <c r="AM78" s="5"/>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L79" s="40"/>
      <c r="AM79" s="5"/>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L80" s="40"/>
      <c r="AM80" s="5"/>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L81" s="40"/>
      <c r="AM81" s="5"/>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L82" s="40"/>
      <c r="AM82" s="5"/>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L83" s="40"/>
      <c r="AM83" s="5"/>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L84" s="40"/>
      <c r="AM84" s="5"/>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L85" s="40"/>
      <c r="AM85" s="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L86" s="40"/>
      <c r="AM86" s="5"/>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L87" s="40"/>
      <c r="AM87" s="5"/>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L88" s="40"/>
      <c r="AM88" s="5"/>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L89" s="40"/>
      <c r="AM89" s="5"/>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L90" s="40"/>
      <c r="AM90" s="5"/>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L91" s="40"/>
      <c r="AM91" s="5"/>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L92" s="40"/>
      <c r="AM92" s="5"/>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L93" s="40"/>
      <c r="AM93" s="5"/>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L94" s="40"/>
      <c r="AM94" s="5"/>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L95" s="40"/>
      <c r="AM95" s="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L96" s="40"/>
      <c r="AM96" s="5"/>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L97" s="40"/>
      <c r="AM97" s="5"/>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L98" s="40"/>
      <c r="AM98" s="5"/>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L99" s="40"/>
      <c r="AM99" s="5"/>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L100" s="40"/>
      <c r="AM100" s="5"/>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L101" s="40"/>
      <c r="AM101" s="5"/>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L102" s="40"/>
      <c r="AM102" s="5"/>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L103" s="40"/>
      <c r="AM103" s="5"/>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L104" s="40"/>
      <c r="AM104" s="5"/>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L105" s="40"/>
      <c r="AM105" s="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L106" s="40"/>
      <c r="AM106" s="5"/>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L107" s="40"/>
      <c r="AM107" s="5"/>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L108" s="40"/>
      <c r="AM108" s="5"/>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L109" s="40"/>
      <c r="AM109" s="5"/>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L110" s="40"/>
      <c r="AM110" s="5"/>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L111" s="40"/>
      <c r="AM111" s="5"/>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L112" s="40"/>
      <c r="AM112" s="5"/>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L113" s="40"/>
      <c r="AM113" s="5"/>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L114" s="40"/>
      <c r="AM114" s="5"/>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L115" s="40"/>
      <c r="AM115" s="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L116" s="40"/>
      <c r="AM116" s="5"/>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L117" s="40"/>
      <c r="AM117" s="5"/>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L118" s="40"/>
      <c r="AM118" s="5"/>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L119" s="40"/>
      <c r="AM119" s="5"/>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L120" s="40"/>
      <c r="AM120" s="5"/>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L121" s="40"/>
      <c r="AM121" s="5"/>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L122" s="40"/>
      <c r="AM122" s="5"/>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L123" s="40"/>
      <c r="AM123" s="5"/>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L124" s="40"/>
      <c r="AM124" s="5"/>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L125" s="40"/>
      <c r="AM125" s="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L126" s="40"/>
      <c r="AM126" s="5"/>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L127" s="40"/>
      <c r="AM127" s="5"/>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L128" s="40"/>
      <c r="AM128" s="5"/>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L129" s="40"/>
      <c r="AM129" s="5"/>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L130" s="40"/>
      <c r="AM130" s="5"/>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L131" s="40"/>
      <c r="AM131" s="5"/>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L132" s="40"/>
      <c r="AM132" s="5"/>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L133" s="40"/>
      <c r="AM133" s="5"/>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L134" s="40"/>
      <c r="AM134" s="5"/>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L135" s="40"/>
      <c r="AM135" s="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L136" s="40"/>
      <c r="AM136" s="5"/>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L137" s="40"/>
      <c r="AM137" s="5"/>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L138" s="40"/>
      <c r="AM138" s="5"/>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L139" s="40"/>
      <c r="AM139" s="5"/>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L140" s="40"/>
      <c r="AM140" s="5"/>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L141" s="40"/>
      <c r="AM141" s="5"/>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L142" s="40"/>
      <c r="AM142" s="5"/>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L143" s="40"/>
      <c r="AM143" s="5"/>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L144" s="40"/>
      <c r="AM144" s="5"/>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L145" s="40"/>
      <c r="AM145" s="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L146" s="40"/>
      <c r="AM146" s="5"/>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L147" s="40"/>
      <c r="AM147" s="5"/>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L148" s="40"/>
      <c r="AM148" s="5"/>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L149" s="40"/>
      <c r="AM149" s="5"/>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L150" s="40"/>
      <c r="AM150" s="5"/>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L151" s="40"/>
      <c r="AM151" s="5"/>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L152" s="40"/>
      <c r="AM152" s="5"/>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L153" s="40"/>
      <c r="AM153" s="5"/>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L154" s="40"/>
      <c r="AM154" s="5"/>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L155" s="40"/>
      <c r="AM155" s="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L156" s="40"/>
      <c r="AM156" s="5"/>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L157" s="40"/>
      <c r="AM157" s="5"/>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L158" s="40"/>
      <c r="AM158" s="5"/>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L159" s="40"/>
      <c r="AM159" s="5"/>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L160" s="40"/>
      <c r="AM160" s="5"/>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L161" s="40"/>
      <c r="AM161" s="5"/>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L162" s="40"/>
      <c r="AM162" s="5"/>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L163" s="40"/>
      <c r="AM163" s="5"/>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L164" s="40"/>
      <c r="AM164" s="5"/>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L165" s="40"/>
      <c r="AM165" s="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L166" s="40"/>
      <c r="AM166" s="5"/>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L167" s="40"/>
      <c r="AM167" s="5"/>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L168" s="40"/>
      <c r="AM168" s="5"/>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L169" s="40"/>
      <c r="AM169" s="5"/>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L170" s="40"/>
      <c r="AM170" s="5"/>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L171" s="40"/>
      <c r="AM171" s="5"/>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L172" s="40"/>
      <c r="AM172" s="5"/>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L173" s="40"/>
      <c r="AM173" s="5"/>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L174" s="40"/>
      <c r="AM174" s="5"/>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L175" s="40"/>
      <c r="AM175" s="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L176" s="40"/>
      <c r="AM176" s="5"/>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L177" s="40"/>
      <c r="AM177" s="5"/>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L178" s="40"/>
      <c r="AM178" s="5"/>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L179" s="40"/>
      <c r="AM179" s="5"/>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L180" s="40"/>
      <c r="AM180" s="5"/>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L181" s="40"/>
      <c r="AM181" s="5"/>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L182" s="40"/>
      <c r="AM182" s="5"/>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L183" s="40"/>
      <c r="AM183" s="5"/>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L184" s="40"/>
      <c r="AM184" s="5"/>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L185" s="40"/>
      <c r="AM185" s="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L186" s="40"/>
      <c r="AM186" s="5"/>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L187" s="40"/>
      <c r="AM187" s="5"/>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L188" s="40"/>
      <c r="AM188" s="5"/>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L189" s="40"/>
      <c r="AM189" s="5"/>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L190" s="40"/>
      <c r="AM190" s="5"/>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L191" s="40"/>
      <c r="AM191" s="5"/>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L192" s="40"/>
      <c r="AM192" s="5"/>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L193" s="40"/>
      <c r="AM193" s="5"/>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L194" s="40"/>
      <c r="AM194" s="5"/>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L195" s="40"/>
      <c r="AM195" s="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L196" s="40"/>
      <c r="AM196" s="5"/>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L197" s="40"/>
      <c r="AM197" s="5"/>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L198" s="40"/>
      <c r="AM198" s="5"/>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L199" s="40"/>
      <c r="AM199" s="5"/>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L200" s="40"/>
      <c r="AM200" s="5"/>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L201" s="40"/>
      <c r="AM201" s="5"/>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L202" s="40"/>
      <c r="AM202" s="5"/>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L203" s="40"/>
      <c r="AM203" s="5"/>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L204" s="40"/>
      <c r="AM204" s="5"/>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L205" s="40"/>
      <c r="AM205" s="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L206" s="40"/>
      <c r="AM206" s="5"/>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L207" s="40"/>
      <c r="AM207" s="5"/>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L208" s="40"/>
      <c r="AM208" s="5"/>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L209" s="40"/>
      <c r="AM209" s="5"/>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L210" s="40"/>
      <c r="AM210" s="5"/>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L211" s="40"/>
      <c r="AM211" s="5"/>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L212" s="40"/>
      <c r="AM212" s="5"/>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L213" s="40"/>
      <c r="AM213" s="5"/>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L214" s="40"/>
      <c r="AM214" s="5"/>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L215" s="40"/>
      <c r="AM215" s="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L216" s="40"/>
      <c r="AM216" s="5"/>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L217" s="40"/>
      <c r="AM217" s="5"/>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L218" s="40"/>
      <c r="AM218" s="5"/>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L219" s="40"/>
      <c r="AM219" s="5"/>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L220" s="40"/>
      <c r="AM220" s="5"/>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L221" s="40"/>
      <c r="AM221" s="5"/>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L222" s="40"/>
      <c r="AM222" s="5"/>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L223" s="40"/>
      <c r="AM223" s="5"/>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L224" s="40"/>
      <c r="AM224" s="5"/>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L225" s="40"/>
      <c r="AM225" s="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L226" s="40"/>
      <c r="AM226" s="5"/>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L227" s="40"/>
      <c r="AM227" s="5"/>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L228" s="40"/>
      <c r="AM228" s="5"/>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L229" s="40"/>
      <c r="AM229" s="5"/>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L230" s="40"/>
      <c r="AM230" s="5"/>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L231" s="40"/>
      <c r="AM231" s="5"/>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L232" s="40"/>
      <c r="AM232" s="5"/>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L233" s="40"/>
      <c r="AM233" s="5"/>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L234" s="40"/>
      <c r="AM234" s="5"/>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L235" s="40"/>
      <c r="AM235" s="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L236" s="40"/>
      <c r="AM236" s="5"/>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L237" s="40"/>
      <c r="AM237" s="5"/>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L238" s="40"/>
      <c r="AM238" s="5"/>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L239" s="40"/>
      <c r="AM239" s="5"/>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L240" s="40"/>
      <c r="AM240" s="5"/>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L241" s="40"/>
      <c r="AM241" s="5"/>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L242" s="40"/>
      <c r="AM242" s="5"/>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L243" s="40"/>
      <c r="AM243" s="5"/>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L244" s="40"/>
      <c r="AM244" s="5"/>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L245" s="40"/>
      <c r="AM245" s="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L246" s="40"/>
      <c r="AM246" s="5"/>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L247" s="40"/>
      <c r="AM247" s="5"/>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L248" s="40"/>
      <c r="AM248" s="5"/>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L249" s="40"/>
      <c r="AM249" s="5"/>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L250" s="40"/>
      <c r="AM250" s="5"/>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L251" s="40"/>
      <c r="AM251" s="5"/>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L252" s="40"/>
      <c r="AM252" s="5"/>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L253" s="40"/>
      <c r="AM253" s="5"/>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L254" s="40"/>
      <c r="AM254" s="5"/>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L255" s="40"/>
      <c r="AM255" s="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L256" s="40"/>
      <c r="AM256" s="5"/>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L257" s="40"/>
      <c r="AM257" s="5"/>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L258" s="40"/>
      <c r="AM258" s="5"/>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L259" s="40"/>
      <c r="AM259" s="5"/>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L260" s="40"/>
      <c r="AM260" s="5"/>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L261" s="40"/>
      <c r="AM261" s="5"/>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L262" s="40"/>
      <c r="AM262" s="5"/>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L263" s="40"/>
      <c r="AM263" s="5"/>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L264" s="40"/>
      <c r="AM264" s="5"/>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L265" s="40"/>
      <c r="AM265" s="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L266" s="40"/>
      <c r="AM266" s="5"/>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L267" s="40"/>
      <c r="AM267" s="5"/>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L268" s="40"/>
      <c r="AM268" s="5"/>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L269" s="40"/>
      <c r="AM269" s="5"/>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L270" s="40"/>
      <c r="AM270" s="5"/>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L271" s="40"/>
      <c r="AM271" s="5"/>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L272" s="40"/>
      <c r="AM272" s="5"/>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L273" s="40"/>
      <c r="AM273" s="5"/>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L274" s="40"/>
      <c r="AM274" s="5"/>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L275" s="40"/>
      <c r="AM275" s="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L276" s="40"/>
      <c r="AM276" s="5"/>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L277" s="40"/>
      <c r="AM277" s="5"/>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L278" s="40"/>
      <c r="AM278" s="5"/>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L279" s="40"/>
      <c r="AM279" s="5"/>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L280" s="40"/>
      <c r="AM280" s="5"/>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L281" s="40"/>
      <c r="AM281" s="5"/>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L282" s="40"/>
      <c r="AM282" s="5"/>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L283" s="40"/>
      <c r="AM283" s="5"/>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L284" s="40"/>
      <c r="AM284" s="5"/>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L285" s="40"/>
      <c r="AM285" s="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L286" s="40"/>
      <c r="AM286" s="5"/>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L287" s="40"/>
      <c r="AM287" s="5"/>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L288" s="40"/>
      <c r="AM288" s="5"/>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L289" s="40"/>
      <c r="AM289" s="5"/>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L290" s="40"/>
      <c r="AM290" s="5"/>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L291" s="40"/>
      <c r="AM291" s="5"/>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L292" s="40"/>
      <c r="AM292" s="5"/>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L293" s="40"/>
      <c r="AM293" s="5"/>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L294" s="40"/>
      <c r="AM294" s="5"/>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L295" s="40"/>
      <c r="AM295" s="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L296" s="40"/>
      <c r="AM296" s="5"/>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L297" s="40"/>
      <c r="AM297" s="5"/>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L298" s="40"/>
      <c r="AM298" s="5"/>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L299" s="40"/>
      <c r="AM299" s="5"/>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L300" s="40"/>
      <c r="AM300" s="5"/>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L301" s="40"/>
      <c r="AM301" s="5"/>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L302" s="40"/>
      <c r="AM302" s="5"/>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L303" s="40"/>
      <c r="AM303" s="5"/>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L304" s="40"/>
      <c r="AM304" s="5"/>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L305" s="40"/>
      <c r="AM305" s="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L306" s="40"/>
      <c r="AM306" s="5"/>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L307" s="40"/>
      <c r="AM307" s="5"/>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L308" s="40"/>
      <c r="AM308" s="5"/>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L309" s="40"/>
      <c r="AM309" s="5"/>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L310" s="40"/>
      <c r="AM310" s="5"/>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L311" s="40"/>
      <c r="AM311" s="5"/>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L312" s="40"/>
      <c r="AM312" s="5"/>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L313" s="40"/>
      <c r="AM313" s="5"/>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L314" s="40"/>
      <c r="AM314" s="5"/>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L315" s="40"/>
      <c r="AM315" s="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L316" s="40"/>
      <c r="AM316" s="5"/>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L317" s="40"/>
      <c r="AM317" s="5"/>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L318" s="40"/>
      <c r="AM318" s="5"/>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L319" s="40"/>
      <c r="AM319" s="5"/>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L320" s="40"/>
      <c r="AM320" s="5"/>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L321" s="40"/>
      <c r="AM321" s="5"/>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L322" s="40"/>
      <c r="AM322" s="5"/>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L323" s="40"/>
      <c r="AM323" s="5"/>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L324" s="40"/>
      <c r="AM324" s="5"/>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L325" s="40"/>
      <c r="AM325" s="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L326" s="40"/>
      <c r="AM326" s="5"/>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L327" s="40"/>
      <c r="AM327" s="5"/>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L328" s="40"/>
      <c r="AM328" s="5"/>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L329" s="40"/>
      <c r="AM329" s="5"/>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L330" s="40"/>
      <c r="AM330" s="5"/>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L331" s="40"/>
      <c r="AM331" s="5"/>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L332" s="40"/>
      <c r="AM332" s="5"/>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L333" s="40"/>
      <c r="AM333" s="5"/>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L334" s="40"/>
      <c r="AM334" s="5"/>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L335" s="40"/>
      <c r="AM335" s="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L336" s="40"/>
      <c r="AM336" s="5"/>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L337" s="40"/>
      <c r="AM337" s="5"/>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L338" s="40"/>
      <c r="AM338" s="5"/>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L339" s="40"/>
      <c r="AM339" s="5"/>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L340" s="40"/>
      <c r="AM340" s="5"/>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L341" s="40"/>
      <c r="AM341" s="5"/>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L342" s="40"/>
      <c r="AM342" s="5"/>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L343" s="40"/>
      <c r="AM343" s="5"/>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L344" s="40"/>
      <c r="AM344" s="5"/>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L345" s="40"/>
      <c r="AM345" s="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L346" s="40"/>
      <c r="AM346" s="5"/>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L347" s="40"/>
      <c r="AM347" s="5"/>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L348" s="40"/>
      <c r="AM348" s="5"/>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L349" s="40"/>
      <c r="AM349" s="5"/>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L350" s="40"/>
      <c r="AM350" s="5"/>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L351" s="40"/>
      <c r="AM351" s="5"/>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L352" s="40"/>
      <c r="AM352" s="5"/>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L353" s="40"/>
      <c r="AM353" s="5"/>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L354" s="40"/>
      <c r="AM354" s="5"/>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L355" s="40"/>
      <c r="AM355" s="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L356" s="40"/>
      <c r="AM356" s="5"/>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L357" s="40"/>
      <c r="AM357" s="5"/>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L358" s="40"/>
      <c r="AM358" s="5"/>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L359" s="40"/>
      <c r="AM359" s="5"/>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L360" s="40"/>
      <c r="AM360" s="5"/>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L361" s="40"/>
      <c r="AM361" s="5"/>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L362" s="40"/>
      <c r="AM362" s="5"/>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L363" s="40"/>
      <c r="AM363" s="5"/>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L364" s="40"/>
      <c r="AM364" s="5"/>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L365" s="40"/>
      <c r="AM365" s="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L366" s="40"/>
      <c r="AM366" s="5"/>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L367" s="40"/>
      <c r="AM367" s="5"/>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L368" s="40"/>
      <c r="AM368" s="5"/>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L369" s="40"/>
      <c r="AM369" s="5"/>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L370" s="40"/>
      <c r="AM370" s="5"/>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L371" s="40"/>
      <c r="AM371" s="5"/>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L372" s="40"/>
      <c r="AM372" s="5"/>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L373" s="40"/>
      <c r="AM373" s="5"/>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L374" s="40"/>
      <c r="AM374" s="5"/>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L375" s="40"/>
      <c r="AM375" s="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L376" s="40"/>
      <c r="AM376" s="5"/>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L377" s="40"/>
      <c r="AM377" s="5"/>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L378" s="40"/>
      <c r="AM378" s="5"/>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L379" s="40"/>
      <c r="AM379" s="5"/>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L380" s="40"/>
      <c r="AM380" s="5"/>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L381" s="40"/>
      <c r="AM381" s="5"/>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L382" s="40"/>
      <c r="AM382" s="5"/>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L383" s="40"/>
      <c r="AM383" s="5"/>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L384" s="40"/>
      <c r="AM384" s="5"/>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L385" s="40"/>
      <c r="AM385" s="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L386" s="40"/>
      <c r="AM386" s="5"/>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L387" s="40"/>
      <c r="AM387" s="5"/>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L388" s="40"/>
      <c r="AM388" s="5"/>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L389" s="40"/>
      <c r="AM389" s="5"/>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L390" s="40"/>
      <c r="AM390" s="5"/>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L391" s="40"/>
      <c r="AM391" s="5"/>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L392" s="40"/>
      <c r="AM392" s="5"/>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L393" s="40"/>
      <c r="AM393" s="5"/>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L394" s="40"/>
      <c r="AM394" s="5"/>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L395" s="40"/>
      <c r="AM395" s="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L396" s="40"/>
      <c r="AM396" s="5"/>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L397" s="40"/>
      <c r="AM397" s="5"/>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L398" s="40"/>
      <c r="AM398" s="5"/>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L399" s="40"/>
      <c r="AM399" s="5"/>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L400" s="40"/>
      <c r="AM400" s="5"/>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L401" s="40"/>
      <c r="AM401" s="5"/>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L402" s="40"/>
      <c r="AM402" s="5"/>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L403" s="40"/>
      <c r="AM403" s="5"/>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L404" s="40"/>
      <c r="AM404" s="5"/>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L405" s="40"/>
      <c r="AM405" s="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L406" s="40"/>
      <c r="AM406" s="5"/>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L407" s="40"/>
      <c r="AM407" s="5"/>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L408" s="40"/>
      <c r="AM408" s="5"/>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L409" s="40"/>
      <c r="AM409" s="5"/>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L410" s="40"/>
      <c r="AM410" s="5"/>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L411" s="40"/>
      <c r="AM411" s="5"/>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L412" s="40"/>
      <c r="AM412" s="5"/>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L413" s="40"/>
      <c r="AM413" s="5"/>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L414" s="40"/>
      <c r="AM414" s="5"/>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L415" s="40"/>
      <c r="AM415" s="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L416" s="40"/>
      <c r="AM416" s="5"/>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L417" s="40"/>
      <c r="AM417" s="5"/>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L418" s="40"/>
      <c r="AM418" s="5"/>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L419" s="40"/>
      <c r="AM419" s="5"/>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L420" s="40"/>
      <c r="AM420" s="5"/>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L421" s="40"/>
      <c r="AM421" s="5"/>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L422" s="40"/>
      <c r="AM422" s="5"/>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L423" s="40"/>
      <c r="AM423" s="5"/>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L424" s="40"/>
      <c r="AM424" s="5"/>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L425" s="40"/>
      <c r="AM425" s="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L426" s="40"/>
      <c r="AM426" s="5"/>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L427" s="40"/>
      <c r="AM427" s="5"/>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L428" s="40"/>
      <c r="AM428" s="5"/>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L429" s="40"/>
      <c r="AM429" s="5"/>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L430" s="40"/>
      <c r="AM430" s="5"/>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L431" s="40"/>
      <c r="AM431" s="5"/>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L432" s="40"/>
      <c r="AM432" s="5"/>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L433" s="40"/>
      <c r="AM433" s="5"/>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L434" s="40"/>
      <c r="AM434" s="5"/>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L435" s="40"/>
      <c r="AM435" s="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L436" s="40"/>
      <c r="AM436" s="5"/>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L437" s="40"/>
      <c r="AM437" s="5"/>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L438" s="40"/>
      <c r="AM438" s="5"/>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L439" s="40"/>
      <c r="AM439" s="5"/>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L440" s="40"/>
      <c r="AM440" s="5"/>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L441" s="40"/>
      <c r="AM441" s="5"/>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L442" s="40"/>
      <c r="AM442" s="5"/>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L443" s="40"/>
      <c r="AM443" s="5"/>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L444" s="40"/>
      <c r="AM444" s="5"/>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L445" s="40"/>
      <c r="AM445" s="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L446" s="40"/>
      <c r="AM446" s="5"/>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L447" s="40"/>
      <c r="AM447" s="5"/>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L448" s="40"/>
      <c r="AM448" s="5"/>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L449" s="40"/>
      <c r="AM449" s="5"/>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L450" s="40"/>
      <c r="AM450" s="5"/>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L451" s="40"/>
      <c r="AM451" s="5"/>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L452" s="40"/>
      <c r="AM452" s="5"/>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L453" s="40"/>
      <c r="AM453" s="5"/>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L454" s="40"/>
      <c r="AM454" s="5"/>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L455" s="40"/>
      <c r="AM455" s="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L456" s="40"/>
      <c r="AM456" s="5"/>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L457" s="40"/>
      <c r="AM457" s="5"/>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L458" s="40"/>
      <c r="AM458" s="5"/>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L459" s="40"/>
      <c r="AM459" s="5"/>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L460" s="40"/>
      <c r="AM460" s="5"/>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L461" s="40"/>
      <c r="AM461" s="5"/>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L462" s="40"/>
      <c r="AM462" s="5"/>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L463" s="40"/>
      <c r="AM463" s="5"/>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L464" s="40"/>
      <c r="AM464" s="5"/>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L465" s="40"/>
      <c r="AM465" s="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L466" s="40"/>
      <c r="AM466" s="5"/>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L467" s="40"/>
      <c r="AM467" s="5"/>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L468" s="40"/>
      <c r="AM468" s="5"/>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L469" s="40"/>
      <c r="AM469" s="5"/>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L470" s="40"/>
      <c r="AM470" s="5"/>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L471" s="40"/>
      <c r="AM471" s="5"/>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L472" s="40"/>
      <c r="AM472" s="5"/>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L473" s="40"/>
      <c r="AM473" s="5"/>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L474" s="40"/>
      <c r="AM474" s="5"/>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L475" s="40"/>
      <c r="AM475" s="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L476" s="40"/>
      <c r="AM476" s="5"/>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L477" s="40"/>
      <c r="AM477" s="5"/>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L478" s="40"/>
      <c r="AM478" s="5"/>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L479" s="40"/>
      <c r="AM479" s="5"/>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L480" s="40"/>
      <c r="AM480" s="5"/>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L481" s="40"/>
      <c r="AM481" s="5"/>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L482" s="40"/>
      <c r="AM482" s="5"/>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L483" s="40"/>
      <c r="AM483" s="5"/>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L484" s="40"/>
      <c r="AM484" s="5"/>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L485" s="40"/>
      <c r="AM485" s="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L486" s="40"/>
      <c r="AM486" s="5"/>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L487" s="40"/>
      <c r="AM487" s="5"/>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L488" s="40"/>
      <c r="AM488" s="5"/>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L489" s="40"/>
      <c r="AM489" s="5"/>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L490" s="40"/>
      <c r="AM490" s="5"/>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L491" s="40"/>
      <c r="AM491" s="5"/>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L492" s="40"/>
      <c r="AM492" s="5"/>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L493" s="40"/>
      <c r="AM493" s="5"/>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L494" s="40"/>
      <c r="AM494" s="5"/>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L495" s="40"/>
      <c r="AM495" s="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L496" s="40"/>
      <c r="AM496" s="5"/>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L497" s="40"/>
      <c r="AM497" s="5"/>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L498" s="40"/>
      <c r="AM498" s="5"/>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L499" s="40"/>
      <c r="AM499" s="5"/>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L500" s="40"/>
      <c r="AM500" s="5"/>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L501" s="40"/>
      <c r="AM501" s="5"/>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L502" s="40"/>
      <c r="AM502" s="5"/>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L503" s="40"/>
      <c r="AM503" s="5"/>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L504" s="40"/>
      <c r="AM504" s="5"/>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L505" s="40"/>
      <c r="AM505" s="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L506" s="40"/>
      <c r="AM506" s="5"/>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L507" s="40"/>
      <c r="AM507" s="5"/>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L508" s="40"/>
      <c r="AM508" s="5"/>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L509" s="40"/>
      <c r="AM509" s="5"/>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L510" s="40"/>
      <c r="AM510" s="5"/>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L511" s="40"/>
      <c r="AM511" s="5"/>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L512" s="40"/>
      <c r="AM512" s="5"/>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L513" s="40"/>
      <c r="AM513" s="5"/>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L514" s="40"/>
      <c r="AM514" s="5"/>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L515" s="40"/>
      <c r="AM515" s="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L516" s="40"/>
      <c r="AM516" s="5"/>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L517" s="40"/>
      <c r="AM517" s="5"/>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L518" s="40"/>
      <c r="AM518" s="5"/>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L519" s="40"/>
      <c r="AM519" s="5"/>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L520" s="40"/>
      <c r="AM520" s="5"/>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L521" s="40"/>
      <c r="AM521" s="5"/>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L522" s="40"/>
      <c r="AM522" s="5"/>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L523" s="40"/>
      <c r="AM523" s="5"/>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L524" s="40"/>
      <c r="AM524" s="5"/>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L525" s="40"/>
      <c r="AM525" s="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L526" s="40"/>
      <c r="AM526" s="5"/>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L527" s="40"/>
      <c r="AM527" s="5"/>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L528" s="40"/>
      <c r="AM528" s="5"/>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L529" s="40"/>
      <c r="AM529" s="5"/>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L530" s="40"/>
      <c r="AM530" s="5"/>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L531" s="40"/>
      <c r="AM531" s="5"/>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L532" s="40"/>
      <c r="AM532" s="5"/>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L533" s="40"/>
      <c r="AM533" s="5"/>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L534" s="40"/>
      <c r="AM534" s="5"/>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L535" s="40"/>
      <c r="AM535" s="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L536" s="40"/>
      <c r="AM536" s="5"/>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L537" s="40"/>
      <c r="AM537" s="5"/>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L538" s="40"/>
      <c r="AM538" s="5"/>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L539" s="40"/>
      <c r="AM539" s="5"/>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L540" s="40"/>
      <c r="AM540" s="5"/>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L541" s="40"/>
      <c r="AM541" s="5"/>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L542" s="40"/>
      <c r="AM542" s="5"/>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L543" s="40"/>
      <c r="AM543" s="5"/>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L544" s="40"/>
      <c r="AM544" s="5"/>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L545" s="40"/>
      <c r="AM545" s="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L546" s="40"/>
      <c r="AM546" s="5"/>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L547" s="40"/>
      <c r="AM547" s="5"/>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L548" s="40"/>
      <c r="AM548" s="5"/>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L549" s="40"/>
      <c r="AM549" s="5"/>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L550" s="40"/>
      <c r="AM550" s="5"/>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L551" s="40"/>
      <c r="AM551" s="5"/>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L552" s="40"/>
      <c r="AM552" s="5"/>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L553" s="40"/>
      <c r="AM553" s="5"/>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L554" s="40"/>
      <c r="AM554" s="5"/>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L555" s="40"/>
      <c r="AM555" s="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L556" s="40"/>
      <c r="AM556" s="5"/>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L557" s="40"/>
      <c r="AM557" s="5"/>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L558" s="40"/>
      <c r="AM558" s="5"/>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L559" s="40"/>
      <c r="AM559" s="5"/>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L560" s="40"/>
      <c r="AM560" s="5"/>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L561" s="40"/>
      <c r="AM561" s="5"/>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L562" s="40"/>
      <c r="AM562" s="5"/>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L563" s="40"/>
      <c r="AM563" s="5"/>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L564" s="40"/>
      <c r="AM564" s="5"/>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L565" s="40"/>
      <c r="AM565" s="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L566" s="40"/>
      <c r="AM566" s="5"/>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L567" s="40"/>
      <c r="AM567" s="5"/>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L568" s="40"/>
      <c r="AM568" s="5"/>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L569" s="40"/>
      <c r="AM569" s="5"/>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L570" s="40"/>
      <c r="AM570" s="5"/>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L571" s="40"/>
      <c r="AM571" s="5"/>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L572" s="40"/>
      <c r="AM572" s="5"/>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L573" s="40"/>
      <c r="AM573" s="5"/>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L574" s="40"/>
      <c r="AM574" s="5"/>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L575" s="40"/>
      <c r="AM575" s="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L576" s="40"/>
      <c r="AM576" s="5"/>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L577" s="40"/>
      <c r="AM577" s="5"/>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L578" s="40"/>
      <c r="AM578" s="5"/>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L579" s="40"/>
      <c r="AM579" s="5"/>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L580" s="40"/>
      <c r="AM580" s="5"/>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L581" s="40"/>
      <c r="AM581" s="5"/>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L582" s="40"/>
      <c r="AM582" s="5"/>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L583" s="40"/>
      <c r="AM583" s="5"/>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L584" s="40"/>
      <c r="AM584" s="5"/>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L585" s="40"/>
      <c r="AM585" s="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L586" s="40"/>
      <c r="AM586" s="5"/>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L587" s="40"/>
      <c r="AM587" s="5"/>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L588" s="40"/>
      <c r="AM588" s="5"/>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L589" s="40"/>
      <c r="AM589" s="5"/>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L590" s="40"/>
      <c r="AM590" s="5"/>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L591" s="40"/>
      <c r="AM591" s="5"/>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L592" s="40"/>
      <c r="AM592" s="5"/>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L593" s="40"/>
      <c r="AM593" s="5"/>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L594" s="40"/>
      <c r="AM594" s="5"/>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L595" s="40"/>
      <c r="AM595" s="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L596" s="40"/>
      <c r="AM596" s="5"/>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L597" s="40"/>
      <c r="AM597" s="5"/>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L598" s="40"/>
      <c r="AM598" s="5"/>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L599" s="40"/>
      <c r="AM599" s="5"/>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L600" s="40"/>
      <c r="AM600" s="5"/>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L601" s="40"/>
      <c r="AM601" s="5"/>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L602" s="40"/>
      <c r="AM602" s="5"/>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L603" s="40"/>
      <c r="AM603" s="5"/>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L604" s="40"/>
      <c r="AM604" s="5"/>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L605" s="40"/>
      <c r="AM605" s="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L606" s="40"/>
      <c r="AM606" s="5"/>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L607" s="40"/>
      <c r="AM607" s="5"/>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L608" s="40"/>
      <c r="AM608" s="5"/>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L609" s="40"/>
      <c r="AM609" s="5"/>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L610" s="40"/>
      <c r="AM610" s="5"/>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L611" s="40"/>
      <c r="AM611" s="5"/>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L612" s="40"/>
      <c r="AM612" s="5"/>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L613" s="40"/>
      <c r="AM613" s="5"/>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L614" s="40"/>
      <c r="AM614" s="5"/>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L615" s="40"/>
      <c r="AM615" s="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L616" s="40"/>
      <c r="AM616" s="5"/>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L617" s="40"/>
      <c r="AM617" s="5"/>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L618" s="40"/>
      <c r="AM618" s="5"/>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L619" s="40"/>
      <c r="AM619" s="5"/>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L620" s="40"/>
      <c r="AM620" s="5"/>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L621" s="40"/>
      <c r="AM621" s="5"/>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L622" s="40"/>
      <c r="AM622" s="5"/>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L623" s="40"/>
      <c r="AM623" s="5"/>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L624" s="40"/>
      <c r="AM624" s="5"/>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L625" s="40"/>
      <c r="AM625" s="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L626" s="40"/>
      <c r="AM626" s="5"/>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L627" s="40"/>
      <c r="AM627" s="5"/>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L628" s="40"/>
      <c r="AM628" s="5"/>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L629" s="40"/>
      <c r="AM629" s="5"/>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L630" s="40"/>
      <c r="AM630" s="5"/>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L631" s="40"/>
      <c r="AM631" s="5"/>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L632" s="40"/>
      <c r="AM632" s="5"/>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L633" s="40"/>
      <c r="AM633" s="5"/>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L634" s="40"/>
      <c r="AM634" s="5"/>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L635" s="40"/>
      <c r="AM635" s="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L636" s="40"/>
      <c r="AM636" s="5"/>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L637" s="40"/>
      <c r="AM637" s="5"/>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L638" s="40"/>
      <c r="AM638" s="5"/>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L639" s="40"/>
      <c r="AM639" s="5"/>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L640" s="40"/>
      <c r="AM640" s="5"/>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L641" s="40"/>
      <c r="AM641" s="5"/>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L642" s="40"/>
      <c r="AM642" s="5"/>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L643" s="40"/>
      <c r="AM643" s="5"/>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L644" s="40"/>
      <c r="AM644" s="5"/>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L645" s="40"/>
      <c r="AM645" s="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L646" s="40"/>
      <c r="AM646" s="5"/>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L647" s="40"/>
      <c r="AM647" s="5"/>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L648" s="40"/>
      <c r="AM648" s="5"/>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L649" s="40"/>
      <c r="AM649" s="5"/>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L650" s="40"/>
      <c r="AM650" s="5"/>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L651" s="40"/>
      <c r="AM651" s="5"/>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L652" s="40"/>
      <c r="AM652" s="5"/>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L653" s="40"/>
      <c r="AM653" s="5"/>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L654" s="40"/>
      <c r="AM654" s="5"/>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L655" s="40"/>
      <c r="AM655" s="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L656" s="40"/>
      <c r="AM656" s="5"/>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L657" s="40"/>
      <c r="AM657" s="5"/>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L658" s="40"/>
      <c r="AM658" s="5"/>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L659" s="40"/>
      <c r="AM659" s="5"/>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L660" s="40"/>
      <c r="AM660" s="5"/>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L661" s="40"/>
      <c r="AM661" s="5"/>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L662" s="40"/>
      <c r="AM662" s="5"/>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L663" s="40"/>
      <c r="AM663" s="5"/>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L664" s="40"/>
      <c r="AM664" s="5"/>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L665" s="40"/>
      <c r="AM665" s="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L666" s="40"/>
      <c r="AM666" s="5"/>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L667" s="40"/>
      <c r="AM667" s="5"/>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L668" s="40"/>
      <c r="AM668" s="5"/>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L669" s="40"/>
      <c r="AM669" s="5"/>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L670" s="40"/>
      <c r="AM670" s="5"/>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L671" s="40"/>
      <c r="AM671" s="5"/>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L672" s="40"/>
      <c r="AM672" s="5"/>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L673" s="40"/>
      <c r="AM673" s="5"/>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L674" s="40"/>
      <c r="AM674" s="5"/>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L675" s="40"/>
      <c r="AM675" s="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L676" s="40"/>
      <c r="AM676" s="5"/>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L677" s="40"/>
      <c r="AM677" s="5"/>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L678" s="40"/>
      <c r="AM678" s="5"/>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L679" s="40"/>
      <c r="AM679" s="5"/>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L680" s="40"/>
      <c r="AM680" s="5"/>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L681" s="40"/>
      <c r="AM681" s="5"/>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L682" s="40"/>
      <c r="AM682" s="5"/>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L683" s="40"/>
      <c r="AM683" s="5"/>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L684" s="40"/>
      <c r="AM684" s="5"/>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L685" s="40"/>
      <c r="AM685" s="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L686" s="40"/>
      <c r="AM686" s="5"/>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L687" s="40"/>
      <c r="AM687" s="5"/>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L688" s="40"/>
      <c r="AM688" s="5"/>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L689" s="40"/>
      <c r="AM689" s="5"/>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L690" s="40"/>
      <c r="AM690" s="5"/>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L691" s="40"/>
      <c r="AM691" s="5"/>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L692" s="40"/>
      <c r="AM692" s="5"/>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L693" s="40"/>
      <c r="AM693" s="5"/>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L694" s="40"/>
      <c r="AM694" s="5"/>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L695" s="40"/>
      <c r="AM695" s="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L696" s="40"/>
      <c r="AM696" s="5"/>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L697" s="40"/>
      <c r="AM697" s="5"/>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L698" s="40"/>
      <c r="AM698" s="5"/>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L699" s="40"/>
      <c r="AM699" s="5"/>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L700" s="40"/>
      <c r="AM700" s="5"/>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L701" s="40"/>
      <c r="AM701" s="5"/>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L702" s="40"/>
      <c r="AM702" s="5"/>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L703" s="40"/>
      <c r="AM703" s="5"/>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L704" s="40"/>
      <c r="AM704" s="5"/>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L705" s="40"/>
      <c r="AM705" s="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L706" s="40"/>
      <c r="AM706" s="5"/>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L707" s="40"/>
      <c r="AM707" s="5"/>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L708" s="40"/>
      <c r="AM708" s="5"/>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L709" s="40"/>
      <c r="AM709" s="5"/>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L710" s="40"/>
      <c r="AM710" s="5"/>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L711" s="40"/>
      <c r="AM711" s="5"/>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L712" s="40"/>
      <c r="AM712" s="5"/>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L713" s="40"/>
      <c r="AM713" s="5"/>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L714" s="40"/>
      <c r="AM714" s="5"/>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L715" s="40"/>
      <c r="AM715" s="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L716" s="40"/>
      <c r="AM716" s="5"/>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L717" s="40"/>
      <c r="AM717" s="5"/>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L718" s="40"/>
      <c r="AM718" s="5"/>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L719" s="40"/>
      <c r="AM719" s="5"/>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L720" s="40"/>
      <c r="AM720" s="5"/>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L721" s="40"/>
      <c r="AM721" s="5"/>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L722" s="40"/>
      <c r="AM722" s="5"/>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L723" s="40"/>
      <c r="AM723" s="5"/>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L724" s="40"/>
      <c r="AM724" s="5"/>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L725" s="40"/>
      <c r="AM725" s="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L726" s="40"/>
      <c r="AM726" s="5"/>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L727" s="40"/>
      <c r="AM727" s="5"/>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L728" s="40"/>
      <c r="AM728" s="5"/>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L729" s="40"/>
      <c r="AM729" s="5"/>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L730" s="40"/>
      <c r="AM730" s="5"/>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L731" s="40"/>
      <c r="AM731" s="5"/>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L732" s="40"/>
      <c r="AM732" s="5"/>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L733" s="40"/>
      <c r="AM733" s="5"/>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L734" s="40"/>
      <c r="AM734" s="5"/>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L735" s="40"/>
      <c r="AM735" s="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L736" s="40"/>
      <c r="AM736" s="5"/>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L737" s="40"/>
      <c r="AM737" s="5"/>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L738" s="40"/>
      <c r="AM738" s="5"/>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L739" s="40"/>
      <c r="AM739" s="5"/>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L740" s="40"/>
      <c r="AM740" s="5"/>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L741" s="40"/>
      <c r="AM741" s="5"/>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L742" s="40"/>
      <c r="AM742" s="5"/>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L743" s="40"/>
      <c r="AM743" s="5"/>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L744" s="40"/>
      <c r="AM744" s="5"/>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L745" s="40"/>
      <c r="AM745" s="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L746" s="40"/>
      <c r="AM746" s="5"/>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L747" s="40"/>
      <c r="AM747" s="5"/>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L748" s="40"/>
      <c r="AM748" s="5"/>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L749" s="40"/>
      <c r="AM749" s="5"/>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L750" s="40"/>
      <c r="AM750" s="5"/>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L751" s="40"/>
      <c r="AM751" s="5"/>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L752" s="40"/>
      <c r="AM752" s="5"/>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L753" s="40"/>
      <c r="AM753" s="5"/>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L754" s="40"/>
      <c r="AM754" s="5"/>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L755" s="40"/>
      <c r="AM755" s="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L756" s="40"/>
      <c r="AM756" s="5"/>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L757" s="40"/>
      <c r="AM757" s="5"/>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L758" s="40"/>
      <c r="AM758" s="5"/>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L759" s="40"/>
      <c r="AM759" s="5"/>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L760" s="40"/>
      <c r="AM760" s="5"/>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L761" s="40"/>
      <c r="AM761" s="5"/>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L762" s="40"/>
      <c r="AM762" s="5"/>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L763" s="40"/>
      <c r="AM763" s="5"/>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L764" s="40"/>
      <c r="AM764" s="5"/>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L765" s="40"/>
      <c r="AM765" s="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L766" s="40"/>
      <c r="AM766" s="5"/>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L767" s="40"/>
      <c r="AM767" s="5"/>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L768" s="40"/>
      <c r="AM768" s="5"/>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L769" s="40"/>
      <c r="AM769" s="5"/>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L770" s="40"/>
      <c r="AM770" s="5"/>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L771" s="40"/>
      <c r="AM771" s="5"/>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L772" s="40"/>
      <c r="AM772" s="5"/>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L773" s="40"/>
      <c r="AM773" s="5"/>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L774" s="40"/>
      <c r="AM774" s="5"/>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L775" s="40"/>
      <c r="AM775" s="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L776" s="40"/>
      <c r="AM776" s="5"/>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L777" s="40"/>
      <c r="AM777" s="5"/>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L778" s="40"/>
      <c r="AM778" s="5"/>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L779" s="40"/>
      <c r="AM779" s="5"/>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L780" s="40"/>
      <c r="AM780" s="5"/>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L781" s="40"/>
      <c r="AM781" s="5"/>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L782" s="40"/>
      <c r="AM782" s="5"/>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L783" s="40"/>
      <c r="AM783" s="5"/>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L784" s="40"/>
      <c r="AM784" s="5"/>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L785" s="40"/>
      <c r="AM785" s="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L786" s="40"/>
      <c r="AM786" s="5"/>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L787" s="40"/>
      <c r="AM787" s="5"/>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L788" s="40"/>
      <c r="AM788" s="5"/>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L789" s="40"/>
      <c r="AM789" s="5"/>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L790" s="40"/>
      <c r="AM790" s="5"/>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L791" s="40"/>
      <c r="AM791" s="5"/>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L792" s="40"/>
      <c r="AM792" s="5"/>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L793" s="40"/>
      <c r="AM793" s="5"/>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L794" s="40"/>
      <c r="AM794" s="5"/>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L795" s="40"/>
      <c r="AM795" s="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L796" s="40"/>
      <c r="AM796" s="5"/>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L797" s="40"/>
      <c r="AM797" s="5"/>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L798" s="40"/>
      <c r="AM798" s="5"/>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L799" s="40"/>
      <c r="AM799" s="5"/>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L800" s="40"/>
      <c r="AM800" s="5"/>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L801" s="40"/>
      <c r="AM801" s="5"/>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L802" s="40"/>
      <c r="AM802" s="5"/>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L803" s="40"/>
      <c r="AM803" s="5"/>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L804" s="40"/>
      <c r="AM804" s="5"/>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L805" s="40"/>
      <c r="AM805" s="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L806" s="40"/>
      <c r="AM806" s="5"/>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L807" s="40"/>
      <c r="AM807" s="5"/>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L808" s="40"/>
      <c r="AM808" s="5"/>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L809" s="40"/>
      <c r="AM809" s="5"/>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L810" s="40"/>
      <c r="AM810" s="5"/>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L811" s="40"/>
      <c r="AM811" s="5"/>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L812" s="40"/>
      <c r="AM812" s="5"/>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L813" s="40"/>
      <c r="AM813" s="5"/>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L814" s="40"/>
      <c r="AM814" s="5"/>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L815" s="40"/>
      <c r="AM815" s="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L816" s="40"/>
      <c r="AM816" s="5"/>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L817" s="40"/>
      <c r="AM817" s="5"/>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L818" s="40"/>
      <c r="AM818" s="5"/>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L819" s="40"/>
      <c r="AM819" s="5"/>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L820" s="40"/>
      <c r="AM820" s="5"/>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L821" s="40"/>
      <c r="AM821" s="5"/>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L822" s="40"/>
      <c r="AM822" s="5"/>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L823" s="40"/>
      <c r="AM823" s="5"/>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L824" s="40"/>
      <c r="AM824" s="5"/>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L825" s="40"/>
      <c r="AM825" s="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L826" s="40"/>
      <c r="AM826" s="5"/>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L827" s="40"/>
      <c r="AM827" s="5"/>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L828" s="40"/>
      <c r="AM828" s="5"/>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L829" s="40"/>
      <c r="AM829" s="5"/>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L830" s="40"/>
      <c r="AM830" s="5"/>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L831" s="40"/>
      <c r="AM831" s="5"/>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L832" s="40"/>
      <c r="AM832" s="5"/>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L833" s="40"/>
      <c r="AM833" s="5"/>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L834" s="40"/>
      <c r="AM834" s="5"/>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L835" s="40"/>
      <c r="AM835" s="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L836" s="40"/>
      <c r="AM836" s="5"/>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L837" s="40"/>
      <c r="AM837" s="5"/>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L838" s="40"/>
      <c r="AM838" s="5"/>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L839" s="40"/>
      <c r="AM839" s="5"/>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L840" s="40"/>
      <c r="AM840" s="5"/>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L841" s="40"/>
      <c r="AM841" s="5"/>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L842" s="40"/>
      <c r="AM842" s="5"/>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L843" s="40"/>
      <c r="AM843" s="5"/>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L844" s="40"/>
      <c r="AM844" s="5"/>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L845" s="40"/>
      <c r="AM845" s="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L846" s="40"/>
      <c r="AM846" s="5"/>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L847" s="40"/>
      <c r="AM847" s="5"/>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L848" s="40"/>
      <c r="AM848" s="5"/>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L849" s="40"/>
      <c r="AM849" s="5"/>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L850" s="40"/>
      <c r="AM850" s="5"/>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L851" s="40"/>
      <c r="AM851" s="5"/>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L852" s="40"/>
      <c r="AM852" s="5"/>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L853" s="40"/>
      <c r="AM853" s="5"/>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L854" s="40"/>
      <c r="AM854" s="5"/>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L855" s="40"/>
      <c r="AM855" s="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L856" s="40"/>
      <c r="AM856" s="5"/>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L857" s="40"/>
      <c r="AM857" s="5"/>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L858" s="40"/>
      <c r="AM858" s="5"/>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L859" s="40"/>
      <c r="AM859" s="5"/>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L860" s="40"/>
      <c r="AM860" s="5"/>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L861" s="40"/>
      <c r="AM861" s="5"/>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L862" s="40"/>
      <c r="AM862" s="5"/>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L863" s="40"/>
      <c r="AM863" s="5"/>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L864" s="40"/>
      <c r="AM864" s="5"/>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L865" s="40"/>
      <c r="AM865" s="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L866" s="40"/>
      <c r="AM866" s="5"/>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L867" s="40"/>
      <c r="AM867" s="5"/>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L868" s="40"/>
      <c r="AM868" s="5"/>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L869" s="40"/>
      <c r="AM869" s="5"/>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L870" s="40"/>
      <c r="AM870" s="5"/>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L871" s="40"/>
      <c r="AM871" s="5"/>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L872" s="40"/>
      <c r="AM872" s="5"/>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L873" s="40"/>
      <c r="AM873" s="5"/>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L874" s="40"/>
      <c r="AM874" s="5"/>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L875" s="40"/>
      <c r="AM875" s="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L876" s="40"/>
      <c r="AM876" s="5"/>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L877" s="40"/>
      <c r="AM877" s="5"/>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L878" s="40"/>
      <c r="AM878" s="5"/>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L879" s="40"/>
      <c r="AM879" s="5"/>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L880" s="40"/>
      <c r="AM880" s="5"/>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hyperlinks>
    <hyperlink r:id="rId1" ref="B1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39">
        <v>0.0</v>
      </c>
      <c r="B2" s="39">
        <v>1.623437882E9</v>
      </c>
      <c r="C2" s="40">
        <f>IFERROR(__xludf.DUMMYFUNCTION("INDEX(SPLIT(B2, char(10)), 0, 1)/86400+date(1970,1,1)"),44358.790300925924)</f>
        <v>44358.7903</v>
      </c>
      <c r="D2" s="39" t="s">
        <v>90</v>
      </c>
      <c r="E2" s="39" t="s">
        <v>350</v>
      </c>
      <c r="F2" s="39" t="s">
        <v>351</v>
      </c>
    </row>
    <row r="3">
      <c r="A3" s="39">
        <v>0.0</v>
      </c>
      <c r="B3" s="39">
        <v>1.623437911E9</v>
      </c>
      <c r="C3" s="40">
        <f>IFERROR(__xludf.DUMMYFUNCTION("INDEX(SPLIT(B3, char(10)), 0, 1)/86400+date(1970,1,1)"),44358.79063657408)</f>
        <v>44358.79064</v>
      </c>
      <c r="D3" s="39" t="s">
        <v>81</v>
      </c>
      <c r="E3" s="39" t="s">
        <v>352</v>
      </c>
      <c r="F3" s="39" t="s">
        <v>353</v>
      </c>
    </row>
    <row r="4">
      <c r="A4" s="39">
        <v>1.0</v>
      </c>
      <c r="B4" s="39">
        <v>1.623438057E9</v>
      </c>
      <c r="C4" s="40">
        <f>IFERROR(__xludf.DUMMYFUNCTION("INDEX(SPLIT(B4, char(10)), 0, 1)/86400+date(1970,1,1)"),44358.79232638889)</f>
        <v>44358.79233</v>
      </c>
      <c r="D4" s="39" t="s">
        <v>103</v>
      </c>
      <c r="E4" s="39" t="s">
        <v>354</v>
      </c>
      <c r="F4" s="39" t="s">
        <v>355</v>
      </c>
    </row>
    <row r="5">
      <c r="A5" s="39">
        <v>1.0</v>
      </c>
      <c r="B5" s="39">
        <v>1.62343806E9</v>
      </c>
      <c r="C5" s="40">
        <f>IFERROR(__xludf.DUMMYFUNCTION("INDEX(SPLIT(B5, char(10)), 0, 1)/86400+date(1970,1,1)"),44358.79236111111)</f>
        <v>44358.79236</v>
      </c>
      <c r="D5" s="39" t="s">
        <v>81</v>
      </c>
      <c r="E5" s="39" t="s">
        <v>356</v>
      </c>
      <c r="F5" s="39" t="s">
        <v>357</v>
      </c>
    </row>
    <row r="6">
      <c r="A6" s="39">
        <v>1.0</v>
      </c>
      <c r="B6" s="39">
        <v>1.623438081E9</v>
      </c>
      <c r="C6" s="40">
        <f>IFERROR(__xludf.DUMMYFUNCTION("INDEX(SPLIT(B6, char(10)), 0, 1)/86400+date(1970,1,1)"),44358.792604166665)</f>
        <v>44358.7926</v>
      </c>
      <c r="D6" s="39" t="s">
        <v>90</v>
      </c>
      <c r="E6" s="39" t="s">
        <v>358</v>
      </c>
      <c r="F6" s="39" t="s">
        <v>359</v>
      </c>
    </row>
    <row r="7">
      <c r="A7" s="39">
        <v>2.0</v>
      </c>
      <c r="B7" s="39">
        <v>1.623438166E9</v>
      </c>
      <c r="C7" s="40">
        <f>IFERROR(__xludf.DUMMYFUNCTION("INDEX(SPLIT(B7, char(10)), 0, 1)/86400+date(1970,1,1)"),44358.793587962966)</f>
        <v>44358.79359</v>
      </c>
      <c r="D7" s="39" t="s">
        <v>81</v>
      </c>
      <c r="E7" s="39" t="s">
        <v>360</v>
      </c>
      <c r="F7" s="39" t="s">
        <v>361</v>
      </c>
    </row>
    <row r="8">
      <c r="A8" s="39">
        <v>2.0</v>
      </c>
      <c r="B8" s="39">
        <v>1.623438203E9</v>
      </c>
      <c r="C8" s="40">
        <f>IFERROR(__xludf.DUMMYFUNCTION("INDEX(SPLIT(B8, char(10)), 0, 1)/86400+date(1970,1,1)"),44358.794016203705)</f>
        <v>44358.79402</v>
      </c>
      <c r="D8" s="39" t="s">
        <v>136</v>
      </c>
      <c r="E8" s="39" t="s">
        <v>362</v>
      </c>
      <c r="F8" s="39" t="s">
        <v>363</v>
      </c>
    </row>
    <row r="9">
      <c r="A9" s="39">
        <v>3.0</v>
      </c>
      <c r="B9" s="39">
        <v>1.623438752E9</v>
      </c>
      <c r="C9" s="40">
        <f>IFERROR(__xludf.DUMMYFUNCTION("INDEX(SPLIT(B9, char(10)), 0, 1)/86400+date(1970,1,1)"),44358.80037037037)</f>
        <v>44358.80037</v>
      </c>
      <c r="D9" s="39" t="s">
        <v>81</v>
      </c>
      <c r="E9" s="39" t="s">
        <v>364</v>
      </c>
      <c r="F9" s="39" t="s">
        <v>365</v>
      </c>
    </row>
    <row r="10">
      <c r="A10" s="39">
        <v>4.0</v>
      </c>
      <c r="B10" s="39">
        <v>1.623439087E9</v>
      </c>
      <c r="C10" s="40">
        <f>IFERROR(__xludf.DUMMYFUNCTION("INDEX(SPLIT(B10, char(10)), 0, 1)/86400+date(1970,1,1)"),44358.804247685184)</f>
        <v>44358.80425</v>
      </c>
      <c r="D10" s="39" t="s">
        <v>93</v>
      </c>
      <c r="E10" s="39" t="s">
        <v>366</v>
      </c>
      <c r="F10" s="39" t="s">
        <v>367</v>
      </c>
    </row>
    <row r="11">
      <c r="A11" s="39">
        <v>4.0</v>
      </c>
      <c r="B11" s="39">
        <v>1.623439088E9</v>
      </c>
      <c r="C11" s="40">
        <f>IFERROR(__xludf.DUMMYFUNCTION("INDEX(SPLIT(B11, char(10)), 0, 1)/86400+date(1970,1,1)"),44358.80425925926)</f>
        <v>44358.80426</v>
      </c>
      <c r="D11" s="39" t="s">
        <v>131</v>
      </c>
      <c r="E11" s="39" t="s">
        <v>368</v>
      </c>
      <c r="F11" s="39" t="s">
        <v>369</v>
      </c>
    </row>
    <row r="12">
      <c r="A12" s="39">
        <v>4.0</v>
      </c>
      <c r="B12" s="39">
        <v>1.623439137E9</v>
      </c>
      <c r="C12" s="40">
        <f>IFERROR(__xludf.DUMMYFUNCTION("INDEX(SPLIT(B12, char(10)), 0, 1)/86400+date(1970,1,1)"),44358.80482638889)</f>
        <v>44358.80483</v>
      </c>
      <c r="D12" s="39" t="s">
        <v>370</v>
      </c>
      <c r="E12" s="39" t="s">
        <v>371</v>
      </c>
      <c r="F12" s="39" t="s">
        <v>372</v>
      </c>
    </row>
    <row r="13">
      <c r="A13" s="39">
        <v>5.0</v>
      </c>
      <c r="B13" s="39">
        <v>1.623439352E9</v>
      </c>
      <c r="C13" s="40">
        <f>IFERROR(__xludf.DUMMYFUNCTION("INDEX(SPLIT(B13, char(10)), 0, 1)/86400+date(1970,1,1)"),44358.80731481481)</f>
        <v>44358.80731</v>
      </c>
      <c r="D13" s="39" t="s">
        <v>174</v>
      </c>
      <c r="E13" s="39" t="s">
        <v>373</v>
      </c>
      <c r="F13" s="39" t="s">
        <v>374</v>
      </c>
    </row>
    <row r="14">
      <c r="A14" s="39">
        <v>5.0</v>
      </c>
      <c r="B14" s="39">
        <v>1.62343939E9</v>
      </c>
      <c r="C14" s="40">
        <f>IFERROR(__xludf.DUMMYFUNCTION("INDEX(SPLIT(B14, char(10)), 0, 1)/86400+date(1970,1,1)"),44358.807754629626)</f>
        <v>44358.80775</v>
      </c>
      <c r="D14" s="39" t="s">
        <v>93</v>
      </c>
      <c r="E14" s="39" t="s">
        <v>375</v>
      </c>
      <c r="F14" s="39" t="s">
        <v>376</v>
      </c>
    </row>
    <row r="15">
      <c r="A15" s="39">
        <v>5.0</v>
      </c>
      <c r="B15" s="39">
        <v>1.623439394E9</v>
      </c>
      <c r="C15" s="40">
        <f>IFERROR(__xludf.DUMMYFUNCTION("INDEX(SPLIT(B15, char(10)), 0, 1)/86400+date(1970,1,1)"),44358.807800925926)</f>
        <v>44358.8078</v>
      </c>
      <c r="D15" s="39" t="s">
        <v>124</v>
      </c>
      <c r="E15" s="39" t="s">
        <v>377</v>
      </c>
      <c r="F15" s="39" t="s">
        <v>378</v>
      </c>
    </row>
    <row r="16">
      <c r="A16" s="39">
        <v>6.0</v>
      </c>
      <c r="B16" s="39">
        <v>1.623439723E9</v>
      </c>
      <c r="C16" s="40">
        <f>IFERROR(__xludf.DUMMYFUNCTION("INDEX(SPLIT(B16, char(10)), 0, 1)/86400+date(1970,1,1)"),44358.8116087963)</f>
        <v>44358.81161</v>
      </c>
      <c r="D16" s="39" t="s">
        <v>103</v>
      </c>
      <c r="E16" s="39" t="s">
        <v>379</v>
      </c>
      <c r="F16" s="39" t="s">
        <v>380</v>
      </c>
    </row>
    <row r="17">
      <c r="A17" s="39">
        <v>7.0</v>
      </c>
      <c r="B17" s="39">
        <v>1.623439875E9</v>
      </c>
      <c r="C17" s="40">
        <f>IFERROR(__xludf.DUMMYFUNCTION("INDEX(SPLIT(B17, char(10)), 0, 1)/86400+date(1970,1,1)"),44358.813368055555)</f>
        <v>44358.81337</v>
      </c>
      <c r="D17" s="39" t="s">
        <v>96</v>
      </c>
      <c r="E17" s="39" t="s">
        <v>160</v>
      </c>
      <c r="F17" s="39" t="s">
        <v>381</v>
      </c>
    </row>
    <row r="18">
      <c r="A18" s="39">
        <v>8.0</v>
      </c>
      <c r="B18" s="39">
        <v>1.623439992E9</v>
      </c>
      <c r="C18" s="40">
        <f>IFERROR(__xludf.DUMMYFUNCTION("INDEX(SPLIT(B18, char(10)), 0, 1)/86400+date(1970,1,1)"),44358.81472222222)</f>
        <v>44358.81472</v>
      </c>
      <c r="D18" s="39" t="s">
        <v>93</v>
      </c>
      <c r="E18" s="39" t="s">
        <v>382</v>
      </c>
      <c r="F18" s="39" t="s">
        <v>383</v>
      </c>
    </row>
    <row r="19">
      <c r="A19" s="39">
        <v>9.0</v>
      </c>
      <c r="B19" s="39">
        <v>1.623440207E9</v>
      </c>
      <c r="C19" s="40">
        <f>IFERROR(__xludf.DUMMYFUNCTION("INDEX(SPLIT(B19, char(10)), 0, 1)/86400+date(1970,1,1)"),44358.81721064815)</f>
        <v>44358.81721</v>
      </c>
      <c r="D19" s="39" t="s">
        <v>103</v>
      </c>
      <c r="E19" s="39" t="s">
        <v>198</v>
      </c>
      <c r="F19" s="39" t="s">
        <v>384</v>
      </c>
    </row>
    <row r="20">
      <c r="A20" s="39">
        <v>9.0</v>
      </c>
      <c r="B20" s="39">
        <v>1.623440275E9</v>
      </c>
      <c r="C20" s="40">
        <f>IFERROR(__xludf.DUMMYFUNCTION("INDEX(SPLIT(B20, char(10)), 0, 1)/86400+date(1970,1,1)"),44358.81799768518)</f>
        <v>44358.818</v>
      </c>
      <c r="D20" s="39" t="s">
        <v>93</v>
      </c>
      <c r="E20" s="39" t="s">
        <v>366</v>
      </c>
      <c r="F20" s="39" t="s">
        <v>385</v>
      </c>
    </row>
    <row r="21">
      <c r="A21" s="39">
        <v>9.0</v>
      </c>
      <c r="B21" s="39">
        <v>1.623440278E9</v>
      </c>
      <c r="C21" s="40">
        <f>IFERROR(__xludf.DUMMYFUNCTION("INDEX(SPLIT(B21, char(10)), 0, 1)/86400+date(1970,1,1)"),44358.818032407406)</f>
        <v>44358.81803</v>
      </c>
      <c r="D21" s="39" t="s">
        <v>174</v>
      </c>
      <c r="E21" s="39" t="s">
        <v>386</v>
      </c>
      <c r="F21" s="39" t="s">
        <v>387</v>
      </c>
    </row>
    <row r="22">
      <c r="A22" s="39">
        <v>10.0</v>
      </c>
      <c r="B22" s="39">
        <v>1.623440639E9</v>
      </c>
      <c r="C22" s="40">
        <f>IFERROR(__xludf.DUMMYFUNCTION("INDEX(SPLIT(B22, char(10)), 0, 1)/86400+date(1970,1,1)"),44358.82221064815)</f>
        <v>44358.82221</v>
      </c>
      <c r="D22" s="39" t="s">
        <v>90</v>
      </c>
      <c r="E22" s="39" t="s">
        <v>388</v>
      </c>
      <c r="F22" s="39" t="s">
        <v>389</v>
      </c>
    </row>
    <row r="23">
      <c r="A23" s="39">
        <v>10.0</v>
      </c>
      <c r="B23" s="39">
        <v>1.623440656E9</v>
      </c>
      <c r="C23" s="40">
        <f>IFERROR(__xludf.DUMMYFUNCTION("INDEX(SPLIT(B23, char(10)), 0, 1)/86400+date(1970,1,1)"),44358.82240740741)</f>
        <v>44358.82241</v>
      </c>
      <c r="D23" s="39" t="s">
        <v>174</v>
      </c>
      <c r="E23" s="39" t="s">
        <v>390</v>
      </c>
      <c r="F23" s="39" t="s">
        <v>391</v>
      </c>
    </row>
    <row r="24">
      <c r="A24" s="39">
        <v>10.0</v>
      </c>
      <c r="B24" s="39">
        <v>1.623440661E9</v>
      </c>
      <c r="C24" s="40">
        <f>IFERROR(__xludf.DUMMYFUNCTION("INDEX(SPLIT(B24, char(10)), 0, 1)/86400+date(1970,1,1)"),44358.82246527778)</f>
        <v>44358.82247</v>
      </c>
      <c r="D24" s="39" t="s">
        <v>124</v>
      </c>
      <c r="E24" s="39" t="s">
        <v>392</v>
      </c>
      <c r="F24" s="39" t="s">
        <v>393</v>
      </c>
    </row>
    <row r="25">
      <c r="A25" s="39">
        <v>10.0</v>
      </c>
      <c r="B25" s="39">
        <v>1.623440689E9</v>
      </c>
      <c r="C25" s="40">
        <f>IFERROR(__xludf.DUMMYFUNCTION("INDEX(SPLIT(B25, char(10)), 0, 1)/86400+date(1970,1,1)"),44358.82278935185)</f>
        <v>44358.82279</v>
      </c>
      <c r="D25" s="39" t="s">
        <v>81</v>
      </c>
      <c r="E25" s="39" t="s">
        <v>394</v>
      </c>
      <c r="F25" s="39" t="s">
        <v>395</v>
      </c>
    </row>
    <row r="26">
      <c r="A26" s="39">
        <v>10.0</v>
      </c>
      <c r="B26" s="39">
        <v>1.623440723E9</v>
      </c>
      <c r="C26" s="40">
        <f>IFERROR(__xludf.DUMMYFUNCTION("INDEX(SPLIT(B26, char(10)), 0, 1)/86400+date(1970,1,1)"),44358.82318287037)</f>
        <v>44358.82318</v>
      </c>
      <c r="D26" s="39" t="s">
        <v>103</v>
      </c>
      <c r="E26" s="39" t="s">
        <v>396</v>
      </c>
      <c r="F26" s="39" t="s">
        <v>397</v>
      </c>
    </row>
    <row r="27">
      <c r="A27" s="39">
        <v>11.0</v>
      </c>
      <c r="B27" s="39">
        <v>1.623440745E9</v>
      </c>
      <c r="C27" s="40">
        <f>IFERROR(__xludf.DUMMYFUNCTION("INDEX(SPLIT(B27, char(10)), 0, 1)/86400+date(1970,1,1)"),44358.8234375)</f>
        <v>44358.82344</v>
      </c>
      <c r="D27" s="39" t="s">
        <v>151</v>
      </c>
      <c r="E27" s="39" t="s">
        <v>398</v>
      </c>
      <c r="F27" s="39" t="s">
        <v>399</v>
      </c>
    </row>
    <row r="28">
      <c r="A28" s="39">
        <v>11.0</v>
      </c>
      <c r="B28" s="39">
        <v>1.623440754E9</v>
      </c>
      <c r="C28" s="40">
        <f>IFERROR(__xludf.DUMMYFUNCTION("INDEX(SPLIT(B28, char(10)), 0, 1)/86400+date(1970,1,1)"),44358.82354166667)</f>
        <v>44358.82354</v>
      </c>
      <c r="D28" s="39" t="s">
        <v>90</v>
      </c>
      <c r="E28" s="39" t="s">
        <v>400</v>
      </c>
      <c r="F28" s="39" t="s">
        <v>401</v>
      </c>
    </row>
    <row r="29">
      <c r="A29" s="39">
        <v>11.0</v>
      </c>
      <c r="B29" s="39">
        <v>1.62344076E9</v>
      </c>
      <c r="C29" s="40">
        <f>IFERROR(__xludf.DUMMYFUNCTION("INDEX(SPLIT(B29, char(10)), 0, 1)/86400+date(1970,1,1)"),44358.82361111111)</f>
        <v>44358.82361</v>
      </c>
      <c r="D29" s="39" t="s">
        <v>93</v>
      </c>
      <c r="E29" s="39" t="s">
        <v>402</v>
      </c>
      <c r="F29" s="39" t="s">
        <v>403</v>
      </c>
    </row>
    <row r="30">
      <c r="A30" s="39">
        <v>11.0</v>
      </c>
      <c r="B30" s="39">
        <v>1.62344077E9</v>
      </c>
      <c r="C30" s="40">
        <f>IFERROR(__xludf.DUMMYFUNCTION("INDEX(SPLIT(B30, char(10)), 0, 1)/86400+date(1970,1,1)"),44358.82372685186)</f>
        <v>44358.82373</v>
      </c>
      <c r="D30" s="39" t="s">
        <v>124</v>
      </c>
      <c r="E30" s="39" t="s">
        <v>404</v>
      </c>
      <c r="F30" s="39" t="s">
        <v>405</v>
      </c>
    </row>
    <row r="31">
      <c r="A31" s="39">
        <v>11.0</v>
      </c>
      <c r="B31" s="39">
        <v>1.623440784E9</v>
      </c>
      <c r="C31" s="40">
        <f>IFERROR(__xludf.DUMMYFUNCTION("INDEX(SPLIT(B31, char(10)), 0, 1)/86400+date(1970,1,1)"),44358.82388888889)</f>
        <v>44358.82389</v>
      </c>
      <c r="D31" s="39" t="s">
        <v>81</v>
      </c>
      <c r="E31" s="39" t="s">
        <v>406</v>
      </c>
      <c r="F31" s="39" t="s">
        <v>407</v>
      </c>
    </row>
    <row r="32">
      <c r="A32" s="39">
        <v>12.0</v>
      </c>
      <c r="B32" s="39">
        <v>1.623440837E9</v>
      </c>
      <c r="C32" s="40">
        <f>IFERROR(__xludf.DUMMYFUNCTION("INDEX(SPLIT(B32, char(10)), 0, 1)/86400+date(1970,1,1)"),44358.82450231482)</f>
        <v>44358.8245</v>
      </c>
      <c r="D32" s="39" t="s">
        <v>174</v>
      </c>
      <c r="E32" s="39" t="s">
        <v>408</v>
      </c>
      <c r="F32" s="39" t="s">
        <v>409</v>
      </c>
    </row>
    <row r="33">
      <c r="A33" s="39">
        <v>12.0</v>
      </c>
      <c r="B33" s="39">
        <v>1.623440887E9</v>
      </c>
      <c r="C33" s="40">
        <f>IFERROR(__xludf.DUMMYFUNCTION("INDEX(SPLIT(B33, char(10)), 0, 1)/86400+date(1970,1,1)"),44358.82508101852)</f>
        <v>44358.82508</v>
      </c>
      <c r="D33" s="39" t="s">
        <v>90</v>
      </c>
      <c r="E33" s="39" t="s">
        <v>112</v>
      </c>
      <c r="F33" s="39" t="s">
        <v>410</v>
      </c>
    </row>
    <row r="34">
      <c r="A34" s="39">
        <v>13.0</v>
      </c>
      <c r="B34" s="39">
        <v>1.623440988E9</v>
      </c>
      <c r="C34" s="40">
        <f>IFERROR(__xludf.DUMMYFUNCTION("INDEX(SPLIT(B34, char(10)), 0, 1)/86400+date(1970,1,1)"),44358.82625)</f>
        <v>44358.82625</v>
      </c>
      <c r="D34" s="39" t="s">
        <v>81</v>
      </c>
      <c r="E34" s="39" t="s">
        <v>411</v>
      </c>
      <c r="F34" s="39" t="s">
        <v>412</v>
      </c>
    </row>
    <row r="35">
      <c r="A35" s="39">
        <v>13.0</v>
      </c>
      <c r="B35" s="39">
        <v>1.623440991E9</v>
      </c>
      <c r="C35" s="40">
        <f>IFERROR(__xludf.DUMMYFUNCTION("INDEX(SPLIT(B35, char(10)), 0, 1)/86400+date(1970,1,1)"),44358.82628472222)</f>
        <v>44358.82628</v>
      </c>
      <c r="D35" s="39" t="s">
        <v>174</v>
      </c>
      <c r="E35" s="39" t="s">
        <v>413</v>
      </c>
      <c r="F35" s="39" t="s">
        <v>414</v>
      </c>
    </row>
    <row r="36">
      <c r="A36" s="39">
        <v>13.0</v>
      </c>
      <c r="B36" s="39">
        <v>1.623441015E9</v>
      </c>
      <c r="C36" s="40">
        <f>IFERROR(__xludf.DUMMYFUNCTION("INDEX(SPLIT(B36, char(10)), 0, 1)/86400+date(1970,1,1)"),44358.8265625)</f>
        <v>44358.82656</v>
      </c>
      <c r="D36" s="39" t="s">
        <v>90</v>
      </c>
      <c r="E36" s="39" t="s">
        <v>415</v>
      </c>
      <c r="F36" s="39" t="s">
        <v>416</v>
      </c>
    </row>
    <row r="37">
      <c r="A37" s="39">
        <v>14.0</v>
      </c>
      <c r="B37" s="39">
        <v>1.623441669E9</v>
      </c>
      <c r="C37" s="40">
        <f>IFERROR(__xludf.DUMMYFUNCTION("INDEX(SPLIT(B37, char(10)), 0, 1)/86400+date(1970,1,1)"),44358.834131944444)</f>
        <v>44358.83413</v>
      </c>
      <c r="D37" s="39" t="s">
        <v>96</v>
      </c>
      <c r="E37" s="39" t="s">
        <v>166</v>
      </c>
      <c r="F37" s="39" t="s">
        <v>417</v>
      </c>
    </row>
    <row r="38">
      <c r="A38" s="39">
        <v>15.0</v>
      </c>
      <c r="B38" s="39">
        <v>1.623441783E9</v>
      </c>
      <c r="C38" s="40">
        <f>IFERROR(__xludf.DUMMYFUNCTION("INDEX(SPLIT(B38, char(10)), 0, 1)/86400+date(1970,1,1)"),44358.83545138889)</f>
        <v>44358.83545</v>
      </c>
      <c r="D38" s="39" t="s">
        <v>96</v>
      </c>
      <c r="E38" s="39" t="s">
        <v>418</v>
      </c>
      <c r="F38" s="39" t="s">
        <v>419</v>
      </c>
    </row>
    <row r="39">
      <c r="A39" s="39">
        <v>16.0</v>
      </c>
      <c r="B39" s="39">
        <v>1.623441902E9</v>
      </c>
      <c r="C39" s="40">
        <f>IFERROR(__xludf.DUMMYFUNCTION("INDEX(SPLIT(B39, char(10)), 0, 1)/86400+date(1970,1,1)"),44358.8368287037)</f>
        <v>44358.83683</v>
      </c>
      <c r="D39" s="39" t="s">
        <v>136</v>
      </c>
      <c r="E39" s="39" t="s">
        <v>420</v>
      </c>
      <c r="F39" s="39" t="s">
        <v>421</v>
      </c>
    </row>
    <row r="40">
      <c r="A40" s="39">
        <v>16.0</v>
      </c>
      <c r="B40" s="39">
        <v>1.623441904E9</v>
      </c>
      <c r="C40" s="40">
        <f>IFERROR(__xludf.DUMMYFUNCTION("INDEX(SPLIT(B40, char(10)), 0, 1)/86400+date(1970,1,1)"),44358.836851851855)</f>
        <v>44358.83685</v>
      </c>
      <c r="D40" s="39" t="s">
        <v>93</v>
      </c>
      <c r="E40" s="39" t="s">
        <v>290</v>
      </c>
      <c r="F40" s="39" t="s">
        <v>422</v>
      </c>
    </row>
    <row r="41">
      <c r="A41" s="39">
        <v>17.0</v>
      </c>
      <c r="B41" s="39">
        <v>1.623442211E9</v>
      </c>
      <c r="C41" s="40">
        <f>IFERROR(__xludf.DUMMYFUNCTION("INDEX(SPLIT(B41, char(10)), 0, 1)/86400+date(1970,1,1)"),44358.84040509259)</f>
        <v>44358.84041</v>
      </c>
      <c r="D41" s="39" t="s">
        <v>93</v>
      </c>
      <c r="E41" s="39" t="s">
        <v>423</v>
      </c>
      <c r="F41" s="39" t="s">
        <v>424</v>
      </c>
    </row>
    <row r="42">
      <c r="A42" s="39">
        <v>17.0</v>
      </c>
      <c r="B42" s="39">
        <v>1.623442233E9</v>
      </c>
      <c r="C42" s="40">
        <f>IFERROR(__xludf.DUMMYFUNCTION("INDEX(SPLIT(B42, char(10)), 0, 1)/86400+date(1970,1,1)"),44358.84065972222)</f>
        <v>44358.84066</v>
      </c>
      <c r="D42" s="39" t="s">
        <v>131</v>
      </c>
      <c r="E42" s="39" t="s">
        <v>425</v>
      </c>
      <c r="F42" s="39" t="s">
        <v>426</v>
      </c>
    </row>
    <row r="43">
      <c r="A43" s="39">
        <v>17.0</v>
      </c>
      <c r="B43" s="39">
        <v>1.623442236E9</v>
      </c>
      <c r="C43" s="40">
        <f>IFERROR(__xludf.DUMMYFUNCTION("INDEX(SPLIT(B43, char(10)), 0, 1)/86400+date(1970,1,1)"),44358.84069444444)</f>
        <v>44358.84069</v>
      </c>
      <c r="D43" s="39" t="s">
        <v>90</v>
      </c>
      <c r="E43" s="39" t="s">
        <v>427</v>
      </c>
      <c r="F43" s="39" t="s">
        <v>428</v>
      </c>
    </row>
    <row r="44">
      <c r="A44" s="39">
        <v>17.0</v>
      </c>
      <c r="B44" s="39">
        <v>1.62344224E9</v>
      </c>
      <c r="C44" s="40">
        <f>IFERROR(__xludf.DUMMYFUNCTION("INDEX(SPLIT(B44, char(10)), 0, 1)/86400+date(1970,1,1)"),44358.840740740736)</f>
        <v>44358.84074</v>
      </c>
      <c r="D44" s="39" t="s">
        <v>96</v>
      </c>
      <c r="E44" s="39" t="s">
        <v>429</v>
      </c>
      <c r="F44" s="39" t="s">
        <v>430</v>
      </c>
    </row>
    <row r="45">
      <c r="A45" s="39">
        <v>17.0</v>
      </c>
      <c r="B45" s="39">
        <v>1.623442246E9</v>
      </c>
      <c r="C45" s="40">
        <f>IFERROR(__xludf.DUMMYFUNCTION("INDEX(SPLIT(B45, char(10)), 0, 1)/86400+date(1970,1,1)"),44358.84081018518)</f>
        <v>44358.84081</v>
      </c>
      <c r="D45" s="39" t="s">
        <v>103</v>
      </c>
      <c r="E45" s="39" t="s">
        <v>431</v>
      </c>
      <c r="F45" s="39" t="s">
        <v>432</v>
      </c>
    </row>
    <row r="46">
      <c r="A46" s="39">
        <v>17.0</v>
      </c>
      <c r="B46" s="39">
        <v>1.623442268E9</v>
      </c>
      <c r="C46" s="40">
        <f>IFERROR(__xludf.DUMMYFUNCTION("INDEX(SPLIT(B46, char(10)), 0, 1)/86400+date(1970,1,1)"),44358.84106481481)</f>
        <v>44358.84106</v>
      </c>
      <c r="D46" s="39" t="s">
        <v>81</v>
      </c>
      <c r="E46" s="39" t="s">
        <v>433</v>
      </c>
      <c r="F46" s="39" t="s">
        <v>434</v>
      </c>
    </row>
    <row r="47">
      <c r="A47" s="39">
        <v>17.0</v>
      </c>
      <c r="B47" s="39">
        <v>1.623442273E9</v>
      </c>
      <c r="C47" s="40">
        <f>IFERROR(__xludf.DUMMYFUNCTION("INDEX(SPLIT(B47, char(10)), 0, 1)/86400+date(1970,1,1)"),44358.84112268519)</f>
        <v>44358.84112</v>
      </c>
      <c r="D47" s="39" t="s">
        <v>174</v>
      </c>
      <c r="E47" s="39" t="s">
        <v>435</v>
      </c>
      <c r="F47" s="39" t="s">
        <v>436</v>
      </c>
    </row>
    <row r="48">
      <c r="A48" s="39">
        <v>18.0</v>
      </c>
      <c r="B48" s="39">
        <v>1.623442308E9</v>
      </c>
      <c r="C48" s="40">
        <f>IFERROR(__xludf.DUMMYFUNCTION("INDEX(SPLIT(B48, char(10)), 0, 1)/86400+date(1970,1,1)"),44358.84152777778)</f>
        <v>44358.84153</v>
      </c>
      <c r="D48" s="39" t="s">
        <v>136</v>
      </c>
      <c r="E48" s="39" t="s">
        <v>437</v>
      </c>
      <c r="F48" s="39" t="s">
        <v>438</v>
      </c>
    </row>
    <row r="49">
      <c r="A49" s="39">
        <v>18.0</v>
      </c>
      <c r="B49" s="39">
        <v>1.623442351E9</v>
      </c>
      <c r="C49" s="40">
        <f>IFERROR(__xludf.DUMMYFUNCTION("INDEX(SPLIT(B49, char(10)), 0, 1)/86400+date(1970,1,1)"),44358.84202546296)</f>
        <v>44358.84203</v>
      </c>
      <c r="D49" s="39" t="s">
        <v>96</v>
      </c>
      <c r="E49" s="39" t="s">
        <v>439</v>
      </c>
      <c r="F49" s="39" t="s">
        <v>440</v>
      </c>
    </row>
    <row r="50">
      <c r="A50" s="39">
        <v>18.0</v>
      </c>
      <c r="B50" s="39">
        <v>1.623442379E9</v>
      </c>
      <c r="C50" s="40">
        <f>IFERROR(__xludf.DUMMYFUNCTION("INDEX(SPLIT(B50, char(10)), 0, 1)/86400+date(1970,1,1)"),44358.84234953704)</f>
        <v>44358.84235</v>
      </c>
      <c r="D50" s="39" t="s">
        <v>90</v>
      </c>
      <c r="E50" s="39" t="s">
        <v>441</v>
      </c>
      <c r="F50" s="39" t="s">
        <v>442</v>
      </c>
    </row>
    <row r="51">
      <c r="A51" s="39">
        <v>19.0</v>
      </c>
      <c r="B51" s="39">
        <v>1.623442422E9</v>
      </c>
      <c r="C51" s="40">
        <f>IFERROR(__xludf.DUMMYFUNCTION("INDEX(SPLIT(B51, char(10)), 0, 1)/86400+date(1970,1,1)"),44358.84284722222)</f>
        <v>44358.84285</v>
      </c>
      <c r="D51" s="39" t="s">
        <v>103</v>
      </c>
      <c r="E51" s="39" t="s">
        <v>443</v>
      </c>
      <c r="F51" s="39" t="s">
        <v>444</v>
      </c>
    </row>
    <row r="52">
      <c r="A52" s="39">
        <v>19.0</v>
      </c>
      <c r="B52" s="39">
        <v>1.62344244E9</v>
      </c>
      <c r="C52" s="40">
        <f>IFERROR(__xludf.DUMMYFUNCTION("INDEX(SPLIT(B52, char(10)), 0, 1)/86400+date(1970,1,1)"),44358.84305555555)</f>
        <v>44358.84306</v>
      </c>
      <c r="D52" s="39" t="s">
        <v>136</v>
      </c>
      <c r="E52" s="39" t="s">
        <v>445</v>
      </c>
      <c r="F52" s="39" t="s">
        <v>446</v>
      </c>
    </row>
    <row r="53">
      <c r="A53" s="39">
        <v>19.0</v>
      </c>
      <c r="B53" s="39">
        <v>1.623442446E9</v>
      </c>
      <c r="C53" s="40">
        <f>IFERROR(__xludf.DUMMYFUNCTION("INDEX(SPLIT(B53, char(10)), 0, 1)/86400+date(1970,1,1)"),44358.843125)</f>
        <v>44358.84313</v>
      </c>
      <c r="D53" s="39" t="s">
        <v>174</v>
      </c>
      <c r="E53" s="39" t="s">
        <v>447</v>
      </c>
      <c r="F53" s="39" t="s">
        <v>448</v>
      </c>
    </row>
    <row r="54">
      <c r="A54" s="39">
        <v>19.0</v>
      </c>
      <c r="B54" s="39">
        <v>1.623442501E9</v>
      </c>
      <c r="C54" s="40">
        <f>IFERROR(__xludf.DUMMYFUNCTION("INDEX(SPLIT(B54, char(10)), 0, 1)/86400+date(1970,1,1)"),44358.84376157407)</f>
        <v>44358.84376</v>
      </c>
      <c r="D54" s="39" t="s">
        <v>96</v>
      </c>
      <c r="E54" s="39" t="s">
        <v>449</v>
      </c>
      <c r="F54" s="39" t="s">
        <v>450</v>
      </c>
    </row>
    <row r="55">
      <c r="A55" s="39">
        <v>19.0</v>
      </c>
      <c r="B55" s="39">
        <v>1.623442507E9</v>
      </c>
      <c r="C55" s="40">
        <f>IFERROR(__xludf.DUMMYFUNCTION("INDEX(SPLIT(B55, char(10)), 0, 1)/86400+date(1970,1,1)"),44358.843831018516)</f>
        <v>44358.84383</v>
      </c>
      <c r="D55" s="39" t="s">
        <v>90</v>
      </c>
      <c r="E55" s="39" t="s">
        <v>366</v>
      </c>
      <c r="F55" s="39" t="s">
        <v>451</v>
      </c>
    </row>
    <row r="56">
      <c r="A56" s="39">
        <v>20.0</v>
      </c>
      <c r="B56" s="39">
        <v>1.623442547E9</v>
      </c>
      <c r="C56" s="40">
        <f>IFERROR(__xludf.DUMMYFUNCTION("INDEX(SPLIT(B56, char(10)), 0, 1)/86400+date(1970,1,1)"),44358.844293981485)</f>
        <v>44358.84429</v>
      </c>
      <c r="D56" s="39" t="s">
        <v>136</v>
      </c>
      <c r="E56" s="39" t="s">
        <v>196</v>
      </c>
      <c r="F56" s="39" t="s">
        <v>452</v>
      </c>
    </row>
    <row r="57">
      <c r="A57" s="39">
        <v>20.0</v>
      </c>
      <c r="B57" s="39">
        <v>1.623442618E9</v>
      </c>
      <c r="C57" s="40">
        <f>IFERROR(__xludf.DUMMYFUNCTION("INDEX(SPLIT(B57, char(10)), 0, 1)/86400+date(1970,1,1)"),44358.84511574074)</f>
        <v>44358.84512</v>
      </c>
      <c r="D57" s="39" t="s">
        <v>93</v>
      </c>
      <c r="E57" s="39" t="s">
        <v>453</v>
      </c>
      <c r="F57" s="39" t="s">
        <v>454</v>
      </c>
    </row>
    <row r="58">
      <c r="A58" s="39">
        <v>21.0</v>
      </c>
      <c r="B58" s="39">
        <v>1.623442652E9</v>
      </c>
      <c r="C58" s="40">
        <f>IFERROR(__xludf.DUMMYFUNCTION("INDEX(SPLIT(B58, char(10)), 0, 1)/86400+date(1970,1,1)"),44358.84550925926)</f>
        <v>44358.84551</v>
      </c>
      <c r="D58" s="39" t="s">
        <v>81</v>
      </c>
      <c r="E58" s="39" t="s">
        <v>455</v>
      </c>
      <c r="F58" s="39" t="s">
        <v>456</v>
      </c>
    </row>
    <row r="59">
      <c r="A59" s="39">
        <v>21.0</v>
      </c>
      <c r="B59" s="39">
        <v>1.623442654E9</v>
      </c>
      <c r="C59" s="40">
        <f>IFERROR(__xludf.DUMMYFUNCTION("INDEX(SPLIT(B59, char(10)), 0, 1)/86400+date(1970,1,1)"),44358.8455324074)</f>
        <v>44358.84553</v>
      </c>
      <c r="D59" s="39" t="s">
        <v>103</v>
      </c>
      <c r="E59" s="39" t="s">
        <v>198</v>
      </c>
      <c r="F59" s="39" t="s">
        <v>457</v>
      </c>
    </row>
    <row r="60">
      <c r="A60" s="39">
        <v>21.0</v>
      </c>
      <c r="B60" s="39">
        <v>1.623442665E9</v>
      </c>
      <c r="C60" s="40">
        <f>IFERROR(__xludf.DUMMYFUNCTION("INDEX(SPLIT(B60, char(10)), 0, 1)/86400+date(1970,1,1)"),44358.845659722225)</f>
        <v>44358.84566</v>
      </c>
      <c r="D60" s="39" t="s">
        <v>96</v>
      </c>
      <c r="E60" s="39" t="s">
        <v>458</v>
      </c>
      <c r="F60" s="39" t="s">
        <v>459</v>
      </c>
    </row>
    <row r="61">
      <c r="A61" s="39">
        <v>21.0</v>
      </c>
      <c r="B61" s="39">
        <v>1.623442677E9</v>
      </c>
      <c r="C61" s="40">
        <f>IFERROR(__xludf.DUMMYFUNCTION("INDEX(SPLIT(B61, char(10)), 0, 1)/86400+date(1970,1,1)"),44358.84579861111)</f>
        <v>44358.8458</v>
      </c>
      <c r="D61" s="39" t="s">
        <v>90</v>
      </c>
      <c r="E61" s="39" t="s">
        <v>455</v>
      </c>
      <c r="F61" s="39" t="s">
        <v>460</v>
      </c>
    </row>
    <row r="62">
      <c r="A62" s="39">
        <v>22.0</v>
      </c>
      <c r="B62" s="39">
        <v>1.623442848E9</v>
      </c>
      <c r="C62" s="40">
        <f>IFERROR(__xludf.DUMMYFUNCTION("INDEX(SPLIT(B62, char(10)), 0, 1)/86400+date(1970,1,1)"),44358.84777777777)</f>
        <v>44358.84778</v>
      </c>
      <c r="D62" s="39" t="s">
        <v>96</v>
      </c>
      <c r="E62" s="39" t="s">
        <v>461</v>
      </c>
      <c r="F62" s="39" t="s">
        <v>462</v>
      </c>
    </row>
    <row r="63">
      <c r="A63" s="39">
        <v>23.0</v>
      </c>
      <c r="B63" s="39">
        <v>1.623442946E9</v>
      </c>
      <c r="C63" s="40">
        <f>IFERROR(__xludf.DUMMYFUNCTION("INDEX(SPLIT(B63, char(10)), 0, 1)/86400+date(1970,1,1)"),44358.848912037036)</f>
        <v>44358.84891</v>
      </c>
      <c r="D63" s="39" t="s">
        <v>90</v>
      </c>
      <c r="E63" s="39" t="s">
        <v>463</v>
      </c>
      <c r="F63" s="39" t="s">
        <v>464</v>
      </c>
    </row>
    <row r="64">
      <c r="A64" s="39">
        <v>23.0</v>
      </c>
      <c r="B64" s="39">
        <v>1.623442948E9</v>
      </c>
      <c r="C64" s="40">
        <f>IFERROR(__xludf.DUMMYFUNCTION("INDEX(SPLIT(B64, char(10)), 0, 1)/86400+date(1970,1,1)"),44358.84893518519)</f>
        <v>44358.84894</v>
      </c>
      <c r="D64" s="39" t="s">
        <v>96</v>
      </c>
      <c r="E64" s="39" t="s">
        <v>465</v>
      </c>
      <c r="F64" s="39" t="s">
        <v>466</v>
      </c>
    </row>
    <row r="65">
      <c r="A65" s="39">
        <v>23.0</v>
      </c>
      <c r="B65" s="39">
        <v>1.623443019E9</v>
      </c>
      <c r="C65" s="40">
        <f>IFERROR(__xludf.DUMMYFUNCTION("INDEX(SPLIT(B65, char(10)), 0, 1)/86400+date(1970,1,1)"),44358.849756944444)</f>
        <v>44358.84976</v>
      </c>
      <c r="D65" s="39" t="s">
        <v>93</v>
      </c>
      <c r="E65" s="39" t="s">
        <v>467</v>
      </c>
      <c r="F65" s="39" t="s">
        <v>468</v>
      </c>
    </row>
    <row r="66">
      <c r="A66" s="39">
        <v>23.0</v>
      </c>
      <c r="B66" s="39">
        <v>1.623443022E9</v>
      </c>
      <c r="C66" s="40">
        <f>IFERROR(__xludf.DUMMYFUNCTION("INDEX(SPLIT(B66, char(10)), 0, 1)/86400+date(1970,1,1)"),44358.84979166667)</f>
        <v>44358.84979</v>
      </c>
      <c r="D66" s="39" t="s">
        <v>131</v>
      </c>
      <c r="E66" s="39" t="s">
        <v>194</v>
      </c>
      <c r="F66" s="39" t="s">
        <v>469</v>
      </c>
    </row>
    <row r="67">
      <c r="A67" s="39">
        <v>23.0</v>
      </c>
      <c r="B67" s="39">
        <v>1.623443031E9</v>
      </c>
      <c r="C67" s="40">
        <f>IFERROR(__xludf.DUMMYFUNCTION("INDEX(SPLIT(B67, char(10)), 0, 1)/86400+date(1970,1,1)"),44358.84989583334)</f>
        <v>44358.8499</v>
      </c>
      <c r="D67" s="39" t="s">
        <v>81</v>
      </c>
      <c r="E67" s="39" t="s">
        <v>467</v>
      </c>
      <c r="F67" s="39" t="s">
        <v>470</v>
      </c>
    </row>
    <row r="68">
      <c r="A68" s="39">
        <v>24.0</v>
      </c>
      <c r="B68" s="39">
        <v>1.623443042E9</v>
      </c>
      <c r="C68" s="40">
        <f>IFERROR(__xludf.DUMMYFUNCTION("INDEX(SPLIT(B68, char(10)), 0, 1)/86400+date(1970,1,1)"),44358.850023148145)</f>
        <v>44358.85002</v>
      </c>
      <c r="D68" s="39" t="s">
        <v>96</v>
      </c>
      <c r="E68" s="39" t="s">
        <v>467</v>
      </c>
      <c r="F68" s="39" t="s">
        <v>471</v>
      </c>
    </row>
    <row r="69">
      <c r="A69" s="39">
        <v>24.0</v>
      </c>
      <c r="B69" s="39">
        <v>1.623443061E9</v>
      </c>
      <c r="C69" s="40">
        <f>IFERROR(__xludf.DUMMYFUNCTION("INDEX(SPLIT(B69, char(10)), 0, 1)/86400+date(1970,1,1)"),44358.85024305555)</f>
        <v>44358.85024</v>
      </c>
      <c r="D69" s="39" t="s">
        <v>90</v>
      </c>
      <c r="E69" s="39" t="s">
        <v>472</v>
      </c>
      <c r="F69" s="39" t="s">
        <v>473</v>
      </c>
    </row>
    <row r="70">
      <c r="A70" s="39">
        <v>24.0</v>
      </c>
      <c r="B70" s="39">
        <v>1.623443071E9</v>
      </c>
      <c r="C70" s="40">
        <f>IFERROR(__xludf.DUMMYFUNCTION("INDEX(SPLIT(B70, char(10)), 0, 1)/86400+date(1970,1,1)"),44358.85035879629)</f>
        <v>44358.85036</v>
      </c>
      <c r="D70" s="39" t="s">
        <v>151</v>
      </c>
      <c r="E70" s="39" t="s">
        <v>467</v>
      </c>
      <c r="F70" s="39" t="s">
        <v>474</v>
      </c>
    </row>
    <row r="71">
      <c r="A71" s="39">
        <v>24.0</v>
      </c>
      <c r="B71" s="39">
        <v>1.623443082E9</v>
      </c>
      <c r="C71" s="40">
        <f>IFERROR(__xludf.DUMMYFUNCTION("INDEX(SPLIT(B71, char(10)), 0, 1)/86400+date(1970,1,1)"),44358.850486111114)</f>
        <v>44358.85049</v>
      </c>
      <c r="D71" s="39" t="s">
        <v>174</v>
      </c>
      <c r="E71" s="39" t="s">
        <v>475</v>
      </c>
      <c r="F71" s="39" t="s">
        <v>476</v>
      </c>
    </row>
    <row r="72">
      <c r="A72" s="39">
        <v>24.0</v>
      </c>
      <c r="B72" s="39">
        <v>1.623443108E9</v>
      </c>
      <c r="C72" s="40">
        <f>IFERROR(__xludf.DUMMYFUNCTION("INDEX(SPLIT(B72, char(10)), 0, 1)/86400+date(1970,1,1)"),44358.85078703704)</f>
        <v>44358.85079</v>
      </c>
      <c r="D72" s="39" t="s">
        <v>103</v>
      </c>
      <c r="E72" s="39" t="s">
        <v>477</v>
      </c>
      <c r="F72" s="39" t="s">
        <v>478</v>
      </c>
    </row>
    <row r="73">
      <c r="A73" s="39">
        <v>25.0</v>
      </c>
      <c r="B73" s="39">
        <v>1.623443202E9</v>
      </c>
      <c r="C73" s="40">
        <f>IFERROR(__xludf.DUMMYFUNCTION("INDEX(SPLIT(B73, char(10)), 0, 1)/86400+date(1970,1,1)"),44358.851875)</f>
        <v>44358.85188</v>
      </c>
      <c r="D73" s="39" t="s">
        <v>81</v>
      </c>
      <c r="E73" s="39" t="s">
        <v>479</v>
      </c>
      <c r="F73" s="39" t="s">
        <v>480</v>
      </c>
    </row>
    <row r="74">
      <c r="A74" s="39">
        <v>25.0</v>
      </c>
      <c r="B74" s="39">
        <v>1.623443255E9</v>
      </c>
      <c r="C74" s="40">
        <f>IFERROR(__xludf.DUMMYFUNCTION("INDEX(SPLIT(B74, char(10)), 0, 1)/86400+date(1970,1,1)"),44358.852488425924)</f>
        <v>44358.85249</v>
      </c>
      <c r="D74" s="39" t="s">
        <v>96</v>
      </c>
      <c r="E74" s="39" t="s">
        <v>481</v>
      </c>
      <c r="F74" s="39" t="s">
        <v>482</v>
      </c>
    </row>
    <row r="75">
      <c r="A75" s="39">
        <v>25.0</v>
      </c>
      <c r="B75" s="39">
        <v>1.623443284E9</v>
      </c>
      <c r="C75" s="40">
        <f>IFERROR(__xludf.DUMMYFUNCTION("INDEX(SPLIT(B75, char(10)), 0, 1)/86400+date(1970,1,1)"),44358.85282407407)</f>
        <v>44358.85282</v>
      </c>
      <c r="D75" s="39" t="s">
        <v>90</v>
      </c>
      <c r="E75" s="39" t="s">
        <v>483</v>
      </c>
      <c r="F75" s="39" t="s">
        <v>484</v>
      </c>
    </row>
    <row r="76">
      <c r="A76" s="39">
        <v>26.0</v>
      </c>
      <c r="B76" s="39">
        <v>1.623443403E9</v>
      </c>
      <c r="C76" s="40">
        <f>IFERROR(__xludf.DUMMYFUNCTION("INDEX(SPLIT(B76, char(10)), 0, 1)/86400+date(1970,1,1)"),44358.85420138889)</f>
        <v>44358.8542</v>
      </c>
      <c r="D76" s="39" t="s">
        <v>93</v>
      </c>
      <c r="E76" s="39" t="s">
        <v>485</v>
      </c>
      <c r="F76" s="39" t="s">
        <v>486</v>
      </c>
    </row>
    <row r="77">
      <c r="A77" s="39">
        <v>26.0</v>
      </c>
      <c r="B77" s="39">
        <v>1.623443403E9</v>
      </c>
      <c r="C77" s="40">
        <f>IFERROR(__xludf.DUMMYFUNCTION("INDEX(SPLIT(B77, char(10)), 0, 1)/86400+date(1970,1,1)"),44358.85420138889)</f>
        <v>44358.8542</v>
      </c>
      <c r="D77" s="39" t="s">
        <v>96</v>
      </c>
      <c r="E77" s="39" t="s">
        <v>487</v>
      </c>
      <c r="F77" s="39" t="s">
        <v>488</v>
      </c>
    </row>
    <row r="78">
      <c r="A78" s="39">
        <v>27.0</v>
      </c>
      <c r="B78" s="39">
        <v>1.623443507E9</v>
      </c>
      <c r="C78" s="40">
        <f>IFERROR(__xludf.DUMMYFUNCTION("INDEX(SPLIT(B78, char(10)), 0, 1)/86400+date(1970,1,1)"),44358.85540509259)</f>
        <v>44358.85541</v>
      </c>
      <c r="D78" s="39" t="s">
        <v>90</v>
      </c>
      <c r="E78" s="39" t="s">
        <v>489</v>
      </c>
      <c r="F78" s="39" t="s">
        <v>490</v>
      </c>
    </row>
    <row r="79">
      <c r="A79" s="39">
        <v>27.0</v>
      </c>
      <c r="B79" s="39">
        <v>1.623443524E9</v>
      </c>
      <c r="C79" s="40">
        <f>IFERROR(__xludf.DUMMYFUNCTION("INDEX(SPLIT(B79, char(10)), 0, 1)/86400+date(1970,1,1)"),44358.85560185185)</f>
        <v>44358.8556</v>
      </c>
      <c r="D79" s="39" t="s">
        <v>93</v>
      </c>
      <c r="E79" s="39" t="s">
        <v>491</v>
      </c>
      <c r="F79" s="39" t="s">
        <v>492</v>
      </c>
    </row>
    <row r="80">
      <c r="A80" s="39">
        <v>28.0</v>
      </c>
      <c r="B80" s="39">
        <v>1.623443638E9</v>
      </c>
      <c r="C80" s="40">
        <f>IFERROR(__xludf.DUMMYFUNCTION("INDEX(SPLIT(B80, char(10)), 0, 1)/86400+date(1970,1,1)"),44358.8569212963)</f>
        <v>44358.85692</v>
      </c>
      <c r="D80" s="39" t="s">
        <v>90</v>
      </c>
      <c r="E80" s="39" t="s">
        <v>396</v>
      </c>
      <c r="F80" s="39" t="s">
        <v>493</v>
      </c>
    </row>
    <row r="81">
      <c r="A81" s="39">
        <v>28.0</v>
      </c>
      <c r="B81" s="39">
        <v>1.623443642E9</v>
      </c>
      <c r="C81" s="40">
        <f>IFERROR(__xludf.DUMMYFUNCTION("INDEX(SPLIT(B81, char(10)), 0, 1)/86400+date(1970,1,1)"),44358.8569675926)</f>
        <v>44358.85697</v>
      </c>
      <c r="D81" s="39" t="s">
        <v>151</v>
      </c>
      <c r="E81" s="39" t="s">
        <v>396</v>
      </c>
      <c r="F81" s="39" t="s">
        <v>494</v>
      </c>
    </row>
    <row r="82">
      <c r="A82" s="39">
        <v>28.0</v>
      </c>
      <c r="B82" s="39">
        <v>1.623443644E9</v>
      </c>
      <c r="C82" s="40">
        <f>IFERROR(__xludf.DUMMYFUNCTION("INDEX(SPLIT(B82, char(10)), 0, 1)/86400+date(1970,1,1)"),44358.85699074074)</f>
        <v>44358.85699</v>
      </c>
      <c r="D82" s="39" t="s">
        <v>103</v>
      </c>
      <c r="E82" s="39" t="s">
        <v>396</v>
      </c>
      <c r="F82" s="39" t="s">
        <v>495</v>
      </c>
    </row>
    <row r="83">
      <c r="A83" s="39">
        <v>28.0</v>
      </c>
      <c r="B83" s="39">
        <v>1.6234437E9</v>
      </c>
      <c r="C83" s="40">
        <f>IFERROR(__xludf.DUMMYFUNCTION("INDEX(SPLIT(B83, char(10)), 0, 1)/86400+date(1970,1,1)"),44358.85763888889)</f>
        <v>44358.85764</v>
      </c>
      <c r="D83" s="39" t="s">
        <v>174</v>
      </c>
      <c r="E83" s="39" t="s">
        <v>496</v>
      </c>
      <c r="F83" s="39" t="s">
        <v>497</v>
      </c>
    </row>
    <row r="84">
      <c r="A84" s="39">
        <v>29.0</v>
      </c>
      <c r="B84" s="39">
        <v>1.623443743E9</v>
      </c>
      <c r="C84" s="40">
        <f>IFERROR(__xludf.DUMMYFUNCTION("INDEX(SPLIT(B84, char(10)), 0, 1)/86400+date(1970,1,1)"),44358.858136574076)</f>
        <v>44358.85814</v>
      </c>
      <c r="D84" s="39" t="s">
        <v>90</v>
      </c>
      <c r="E84" s="39" t="s">
        <v>498</v>
      </c>
      <c r="F84" s="39" t="s">
        <v>499</v>
      </c>
    </row>
    <row r="85">
      <c r="A85" s="39">
        <v>29.0</v>
      </c>
      <c r="B85" s="39">
        <v>1.623443788E9</v>
      </c>
      <c r="C85" s="40">
        <f>IFERROR(__xludf.DUMMYFUNCTION("INDEX(SPLIT(B85, char(10)), 0, 1)/86400+date(1970,1,1)"),44358.85865740741)</f>
        <v>44358.85866</v>
      </c>
      <c r="D85" s="39" t="s">
        <v>81</v>
      </c>
      <c r="E85" s="39" t="s">
        <v>500</v>
      </c>
      <c r="F85" s="39" t="s">
        <v>501</v>
      </c>
    </row>
    <row r="86">
      <c r="A86" s="39">
        <v>29.0</v>
      </c>
      <c r="B86" s="39">
        <v>1.623443792E9</v>
      </c>
      <c r="C86" s="40">
        <f>IFERROR(__xludf.DUMMYFUNCTION("INDEX(SPLIT(B86, char(10)), 0, 1)/86400+date(1970,1,1)"),44358.85870370371)</f>
        <v>44358.8587</v>
      </c>
      <c r="D86" s="39" t="s">
        <v>93</v>
      </c>
      <c r="E86" s="39" t="s">
        <v>366</v>
      </c>
      <c r="F86" s="39" t="s">
        <v>502</v>
      </c>
    </row>
    <row r="87">
      <c r="A87" s="39">
        <v>29.0</v>
      </c>
      <c r="B87" s="39">
        <v>1.623443801E9</v>
      </c>
      <c r="C87" s="40">
        <f>IFERROR(__xludf.DUMMYFUNCTION("INDEX(SPLIT(B87, char(10)), 0, 1)/86400+date(1970,1,1)"),44358.85880787037)</f>
        <v>44358.85881</v>
      </c>
      <c r="D87" s="39" t="s">
        <v>131</v>
      </c>
      <c r="E87" s="39" t="s">
        <v>194</v>
      </c>
      <c r="F87" s="39" t="s">
        <v>503</v>
      </c>
    </row>
    <row r="88">
      <c r="A88" s="39">
        <v>30.0</v>
      </c>
      <c r="B88" s="39">
        <v>1.623443836E9</v>
      </c>
      <c r="C88" s="40">
        <f>IFERROR(__xludf.DUMMYFUNCTION("INDEX(SPLIT(B88, char(10)), 0, 1)/86400+date(1970,1,1)"),44358.85921296296)</f>
        <v>44358.85921</v>
      </c>
      <c r="D88" s="39" t="s">
        <v>96</v>
      </c>
      <c r="E88" s="39" t="s">
        <v>366</v>
      </c>
      <c r="F88" s="39" t="s">
        <v>504</v>
      </c>
    </row>
    <row r="89">
      <c r="A89" s="39">
        <v>30.0</v>
      </c>
      <c r="B89" s="39">
        <v>1.62344384E9</v>
      </c>
      <c r="C89" s="40">
        <f>IFERROR(__xludf.DUMMYFUNCTION("INDEX(SPLIT(B89, char(10)), 0, 1)/86400+date(1970,1,1)"),44358.85925925926)</f>
        <v>44358.85926</v>
      </c>
      <c r="D89" s="39" t="s">
        <v>174</v>
      </c>
      <c r="E89" s="39" t="s">
        <v>505</v>
      </c>
      <c r="F89" s="39" t="s">
        <v>506</v>
      </c>
    </row>
    <row r="90">
      <c r="A90" s="39">
        <v>30.0</v>
      </c>
      <c r="B90" s="39">
        <v>1.62344384E9</v>
      </c>
      <c r="C90" s="40">
        <f>IFERROR(__xludf.DUMMYFUNCTION("INDEX(SPLIT(B90, char(10)), 0, 1)/86400+date(1970,1,1)"),44358.85925925926)</f>
        <v>44358.85926</v>
      </c>
      <c r="D90" s="39" t="s">
        <v>103</v>
      </c>
      <c r="E90" s="39" t="s">
        <v>507</v>
      </c>
      <c r="F90" s="39" t="s">
        <v>508</v>
      </c>
    </row>
    <row r="91">
      <c r="A91" s="39">
        <v>30.0</v>
      </c>
      <c r="B91" s="39">
        <v>1.623443852E9</v>
      </c>
      <c r="C91" s="40">
        <f>IFERROR(__xludf.DUMMYFUNCTION("INDEX(SPLIT(B91, char(10)), 0, 1)/86400+date(1970,1,1)"),44358.85939814815)</f>
        <v>44358.8594</v>
      </c>
      <c r="D91" s="39" t="s">
        <v>136</v>
      </c>
      <c r="E91" s="39" t="s">
        <v>509</v>
      </c>
      <c r="F91" s="39" t="s">
        <v>510</v>
      </c>
    </row>
    <row r="92">
      <c r="A92" s="39">
        <v>31.0</v>
      </c>
      <c r="B92" s="39">
        <v>1.623443966E9</v>
      </c>
      <c r="C92" s="40">
        <f>IFERROR(__xludf.DUMMYFUNCTION("INDEX(SPLIT(B92, char(10)), 0, 1)/86400+date(1970,1,1)"),44358.86071759259)</f>
        <v>44358.86072</v>
      </c>
      <c r="D92" s="39" t="s">
        <v>96</v>
      </c>
      <c r="E92" s="39" t="s">
        <v>418</v>
      </c>
      <c r="F92" s="39" t="s">
        <v>511</v>
      </c>
    </row>
    <row r="93">
      <c r="A93" s="39">
        <v>31.0</v>
      </c>
      <c r="B93" s="39">
        <v>1.623444048E9</v>
      </c>
      <c r="C93" s="40">
        <f>IFERROR(__xludf.DUMMYFUNCTION("INDEX(SPLIT(B93, char(10)), 0, 1)/86400+date(1970,1,1)"),44358.861666666664)</f>
        <v>44358.86167</v>
      </c>
      <c r="D93" s="39" t="s">
        <v>81</v>
      </c>
      <c r="E93" s="39" t="s">
        <v>512</v>
      </c>
      <c r="F93" s="39" t="s">
        <v>513</v>
      </c>
    </row>
    <row r="94">
      <c r="A94" s="39">
        <v>32.0</v>
      </c>
      <c r="B94" s="39">
        <v>1.62344416E9</v>
      </c>
      <c r="C94" s="40">
        <f>IFERROR(__xludf.DUMMYFUNCTION("INDEX(SPLIT(B94, char(10)), 0, 1)/86400+date(1970,1,1)"),44358.86296296296)</f>
        <v>44358.86296</v>
      </c>
      <c r="D94" s="39" t="s">
        <v>81</v>
      </c>
      <c r="E94" s="39" t="s">
        <v>514</v>
      </c>
      <c r="F94" s="39" t="s">
        <v>515</v>
      </c>
    </row>
    <row r="95">
      <c r="A95" s="39">
        <v>32.0</v>
      </c>
      <c r="B95" s="39">
        <v>1.623444193E9</v>
      </c>
      <c r="C95" s="40">
        <f>IFERROR(__xludf.DUMMYFUNCTION("INDEX(SPLIT(B95, char(10)), 0, 1)/86400+date(1970,1,1)"),44358.86334490741)</f>
        <v>44358.86334</v>
      </c>
      <c r="D95" s="39" t="s">
        <v>103</v>
      </c>
      <c r="E95" s="39" t="s">
        <v>516</v>
      </c>
      <c r="F95" s="39" t="s">
        <v>517</v>
      </c>
    </row>
    <row r="96">
      <c r="A96" s="39">
        <v>32.0</v>
      </c>
      <c r="B96" s="39">
        <v>1.623444205E9</v>
      </c>
      <c r="C96" s="40">
        <f>IFERROR(__xludf.DUMMYFUNCTION("INDEX(SPLIT(B96, char(10)), 0, 1)/86400+date(1970,1,1)"),44358.863483796296)</f>
        <v>44358.86348</v>
      </c>
      <c r="D96" s="39" t="s">
        <v>136</v>
      </c>
      <c r="E96" s="39" t="s">
        <v>518</v>
      </c>
      <c r="F96" s="39" t="s">
        <v>519</v>
      </c>
    </row>
    <row r="97">
      <c r="A97" s="39">
        <v>33.0</v>
      </c>
      <c r="B97" s="39">
        <v>1.623444331E9</v>
      </c>
      <c r="C97" s="40">
        <f>IFERROR(__xludf.DUMMYFUNCTION("INDEX(SPLIT(B97, char(10)), 0, 1)/86400+date(1970,1,1)"),44358.86494212963)</f>
        <v>44358.86494</v>
      </c>
      <c r="D97" s="39" t="s">
        <v>90</v>
      </c>
      <c r="E97" s="39" t="s">
        <v>520</v>
      </c>
      <c r="F97" s="39" t="s">
        <v>521</v>
      </c>
    </row>
    <row r="98">
      <c r="A98" s="39">
        <v>33.0</v>
      </c>
      <c r="B98" s="39">
        <v>1.623444391E9</v>
      </c>
      <c r="C98" s="40">
        <f>IFERROR(__xludf.DUMMYFUNCTION("INDEX(SPLIT(B98, char(10)), 0, 1)/86400+date(1970,1,1)"),44358.865636574075)</f>
        <v>44358.86564</v>
      </c>
      <c r="D98" s="39" t="s">
        <v>81</v>
      </c>
      <c r="E98" s="39" t="s">
        <v>522</v>
      </c>
      <c r="F98" s="39" t="s">
        <v>523</v>
      </c>
    </row>
    <row r="99">
      <c r="A99" s="39">
        <v>34.0</v>
      </c>
      <c r="B99" s="39">
        <v>1.623444488E9</v>
      </c>
      <c r="C99" s="40">
        <f>IFERROR(__xludf.DUMMYFUNCTION("INDEX(SPLIT(B99, char(10)), 0, 1)/86400+date(1970,1,1)"),44358.86675925926)</f>
        <v>44358.86676</v>
      </c>
      <c r="D99" s="39" t="s">
        <v>81</v>
      </c>
      <c r="E99" s="39" t="s">
        <v>524</v>
      </c>
      <c r="F99" s="39" t="s">
        <v>525</v>
      </c>
    </row>
    <row r="100">
      <c r="A100" s="39">
        <v>35.0</v>
      </c>
      <c r="B100" s="39">
        <v>1.623444593E9</v>
      </c>
      <c r="C100" s="40">
        <f>IFERROR(__xludf.DUMMYFUNCTION("INDEX(SPLIT(B100, char(10)), 0, 1)/86400+date(1970,1,1)"),44358.86797453703)</f>
        <v>44358.86797</v>
      </c>
      <c r="D100" s="39" t="s">
        <v>93</v>
      </c>
      <c r="E100" s="39" t="s">
        <v>526</v>
      </c>
      <c r="F100" s="39" t="s">
        <v>527</v>
      </c>
    </row>
    <row r="101">
      <c r="A101" s="39">
        <v>35.0</v>
      </c>
      <c r="B101" s="39">
        <v>1.623444607E9</v>
      </c>
      <c r="C101" s="40">
        <f>IFERROR(__xludf.DUMMYFUNCTION("INDEX(SPLIT(B101, char(10)), 0, 1)/86400+date(1970,1,1)"),44358.86813657408)</f>
        <v>44358.86814</v>
      </c>
      <c r="D101" s="39" t="s">
        <v>128</v>
      </c>
      <c r="E101" s="39" t="s">
        <v>528</v>
      </c>
      <c r="F101" s="39" t="s">
        <v>529</v>
      </c>
    </row>
    <row r="102">
      <c r="A102" s="39">
        <v>35.0</v>
      </c>
      <c r="B102" s="39">
        <v>1.623444619E9</v>
      </c>
      <c r="C102" s="40">
        <f>IFERROR(__xludf.DUMMYFUNCTION("INDEX(SPLIT(B102, char(10)), 0, 1)/86400+date(1970,1,1)"),44358.86827546296)</f>
        <v>44358.86828</v>
      </c>
      <c r="D102" s="39" t="s">
        <v>174</v>
      </c>
      <c r="E102" s="39" t="s">
        <v>530</v>
      </c>
      <c r="F102" s="39" t="s">
        <v>531</v>
      </c>
    </row>
    <row r="103">
      <c r="A103" s="39">
        <v>35.0</v>
      </c>
      <c r="B103" s="39">
        <v>1.62344462E9</v>
      </c>
      <c r="C103" s="40">
        <f>IFERROR(__xludf.DUMMYFUNCTION("INDEX(SPLIT(B103, char(10)), 0, 1)/86400+date(1970,1,1)"),44358.86828703704)</f>
        <v>44358.86829</v>
      </c>
      <c r="D103" s="39" t="s">
        <v>81</v>
      </c>
      <c r="E103" s="39" t="s">
        <v>532</v>
      </c>
      <c r="F103" s="39" t="s">
        <v>533</v>
      </c>
    </row>
    <row r="104">
      <c r="A104" s="39">
        <v>35.0</v>
      </c>
      <c r="B104" s="39">
        <v>1.623444651E9</v>
      </c>
      <c r="C104" s="40">
        <f>IFERROR(__xludf.DUMMYFUNCTION("INDEX(SPLIT(B104, char(10)), 0, 1)/86400+date(1970,1,1)"),44358.86864583333)</f>
        <v>44358.86865</v>
      </c>
      <c r="D104" s="39" t="s">
        <v>151</v>
      </c>
      <c r="E104" s="39" t="s">
        <v>534</v>
      </c>
      <c r="F104" s="39" t="s">
        <v>535</v>
      </c>
    </row>
    <row r="105">
      <c r="A105" s="39">
        <v>35.0</v>
      </c>
      <c r="B105" s="39">
        <v>1.623444661E9</v>
      </c>
      <c r="C105" s="40">
        <f>IFERROR(__xludf.DUMMYFUNCTION("INDEX(SPLIT(B105, char(10)), 0, 1)/86400+date(1970,1,1)"),44358.86876157408)</f>
        <v>44358.86876</v>
      </c>
      <c r="D105" s="39" t="s">
        <v>90</v>
      </c>
      <c r="E105" s="39" t="s">
        <v>536</v>
      </c>
      <c r="F105" s="39" t="s">
        <v>537</v>
      </c>
    </row>
    <row r="106">
      <c r="A106" s="39">
        <v>36.0</v>
      </c>
      <c r="B106" s="39">
        <v>1.623444836E9</v>
      </c>
      <c r="C106" s="40">
        <f>IFERROR(__xludf.DUMMYFUNCTION("INDEX(SPLIT(B106, char(10)), 0, 1)/86400+date(1970,1,1)"),44358.87078703704)</f>
        <v>44358.87079</v>
      </c>
      <c r="D106" s="39" t="s">
        <v>174</v>
      </c>
      <c r="E106" s="39" t="s">
        <v>538</v>
      </c>
      <c r="F106" s="39" t="s">
        <v>539</v>
      </c>
    </row>
    <row r="107">
      <c r="A107" s="39">
        <v>36.0</v>
      </c>
      <c r="B107" s="39">
        <v>1.623444889E9</v>
      </c>
      <c r="C107" s="40">
        <f>IFERROR(__xludf.DUMMYFUNCTION("INDEX(SPLIT(B107, char(10)), 0, 1)/86400+date(1970,1,1)"),44358.87140046296)</f>
        <v>44358.8714</v>
      </c>
      <c r="D107" s="39" t="s">
        <v>90</v>
      </c>
      <c r="E107" s="39" t="s">
        <v>540</v>
      </c>
      <c r="F107" s="39" t="s">
        <v>541</v>
      </c>
    </row>
    <row r="108">
      <c r="A108" s="39">
        <v>37.0</v>
      </c>
      <c r="B108" s="39">
        <v>1.623445019E9</v>
      </c>
      <c r="C108" s="40">
        <f>IFERROR(__xludf.DUMMYFUNCTION("INDEX(SPLIT(B108, char(10)), 0, 1)/86400+date(1970,1,1)"),44358.87290509259)</f>
        <v>44358.87291</v>
      </c>
      <c r="D108" s="39" t="s">
        <v>81</v>
      </c>
      <c r="E108" s="39" t="s">
        <v>542</v>
      </c>
      <c r="F108" s="39" t="s">
        <v>543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IFERROR(__xludf.DUMMYFUNCTION("TRANSPOSE(UNIQUE(INDIRECT(B2&amp;""!D2:D107"")))"),"['take', 'knee', 'player']")</f>
        <v>['take', 'knee', 'player']</v>
      </c>
      <c r="G1" s="5" t="str">
        <f>IFERROR(__xludf.DUMMYFUNCTION("""COMPUTED_VALUE"""),"['champion', 'final', 'leagu', 'footbal', 'win']")</f>
        <v>['champion', 'final', 'leagu', 'footbal', 'win']</v>
      </c>
      <c r="H1" s="5" t="str">
        <f>IFERROR(__xludf.DUMMYFUNCTION("""COMPUTED_VALUE"""),"['touch', 'cross', 'ball', 'pass']")</f>
        <v>['touch', 'cross', 'ball', 'pass']</v>
      </c>
      <c r="I1" s="5" t="str">
        <f>IFERROR(__xludf.DUMMYFUNCTION("""COMPUTED_VALUE"""),"['deflect', 'kick', 'corner', 'shot', 'net']")</f>
        <v>['deflect', 'kick', 'corner', 'shot', 'net']</v>
      </c>
      <c r="J1" s="5" t="str">
        <f>IFERROR(__xludf.DUMMYFUNCTION("""COMPUTED_VALUE"""),"['goal', 'score', 'conced', 'equalis', 'offsid', 'assist']")</f>
        <v>['goal', 'score', 'conced', 'equalis', 'offsid', 'assist']</v>
      </c>
      <c r="K1" s="5" t="str">
        <f>IFERROR(__xludf.DUMMYFUNCTION("""COMPUTED_VALUE"""),"['gol', 'stream', 'onlin', 'free', 'reddit', 'link', 'EXCLUDED-manchest', 'ff', 'live']")</f>
        <v>['gol', 'stream', 'onlin', 'free', 'reddit', 'link', 'EXCLUDED-manchest', 'ff', 'live']</v>
      </c>
      <c r="L1" s="5" t="str">
        <f>IFERROR(__xludf.DUMMYFUNCTION("""COMPUTED_VALUE"""),"['hit', 'post']")</f>
        <v>['hit', 'post']</v>
      </c>
      <c r="M1" s="5" t="str">
        <f>IFERROR(__xludf.DUMMYFUNCTION("""COMPUTED_VALUE"""),"['keeper', 'best', 'goalkeep', 'defend', 'EXCLUDED-kepa', 'save']")</f>
        <v>['keeper', 'best', 'goalkeep', 'defend', 'EXCLUDED-kepa', 'save']</v>
      </c>
      <c r="N1" s="5" t="str">
        <f>IFERROR(__xludf.DUMMYFUNCTION("""COMPUTED_VALUE"""),"['foul', 'refere', 'book', 'decis', 'var', 'given', 'pen', 'dive', 'ref', 'penalti']")</f>
        <v>['foul', 'refere', 'book', 'decis', 'var', 'given', 'pen', 'dive', 'ref', 'penalti']</v>
      </c>
      <c r="O1" s="5" t="str">
        <f>IFERROR(__xludf.DUMMYFUNCTION("""COMPUTED_VALUE"""),"['need', 'half', 'sub', 'second', 'lead', '2nd']")</f>
        <v>['need', 'half', 'sub', 'second', 'lead', '2nd']</v>
      </c>
      <c r="P1" s="5" t="str">
        <f>IFERROR(__xludf.DUMMYFUNCTION("""COMPUTED_VALUE"""),"['world', 'class', 'striker']")</f>
        <v>['world', 'class', 'striker']</v>
      </c>
      <c r="Q1" s="5" t="str">
        <f>IFERROR(__xludf.DUMMYFUNCTION("""COMPUTED_VALUE"""),"['tackl', 'dribbl', 'yellow', 'red', 'card']")</f>
        <v>['tackl', 'dribbl', 'yellow', 'red', 'card']</v>
      </c>
    </row>
    <row r="2">
      <c r="A2" s="14" t="s">
        <v>31</v>
      </c>
      <c r="B2" s="15" t="s">
        <v>544</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2</v>
      </c>
      <c r="G3" s="22">
        <f t="shared" ref="G3:G7" si="2">F3/SUM(F$3:F$7)</f>
        <v>0.1176470588</v>
      </c>
      <c r="H3" s="20" t="s">
        <v>14</v>
      </c>
      <c r="I3" s="21">
        <f t="shared" ref="I3:I7" si="3">COUNTIF(J$10:J1007,H3)</f>
        <v>0</v>
      </c>
      <c r="J3" s="22">
        <f t="shared" ref="J3:J7" si="4">I3/SUM(I$3:I$7)</f>
        <v>0</v>
      </c>
      <c r="K3" s="20" t="s">
        <v>14</v>
      </c>
      <c r="L3" s="21">
        <f t="shared" ref="L3:L7" si="5">COUNTIF(M$10:M1007,K3)</f>
        <v>1</v>
      </c>
      <c r="M3" s="22">
        <f t="shared" ref="M3:M7" si="6">L3/SUM(L$3:L$7)</f>
        <v>0.09090909091</v>
      </c>
      <c r="N3" s="20" t="s">
        <v>14</v>
      </c>
      <c r="O3" s="21">
        <f t="shared" ref="O3:O7" si="7">COUNTIF(P$10:P1007,N3)</f>
        <v>1</v>
      </c>
      <c r="P3" s="22">
        <f t="shared" ref="P3:P7" si="8">O3/SUM(O$3:O$7)</f>
        <v>0.1428571429</v>
      </c>
      <c r="Q3" s="20" t="s">
        <v>14</v>
      </c>
      <c r="R3" s="21">
        <f t="shared" ref="R3:R7" si="9">COUNTIF(S$10:S1007,Q3)</f>
        <v>1</v>
      </c>
      <c r="S3" s="22">
        <f t="shared" ref="S3:S7" si="10">R3/SUM(R$3:R$7)</f>
        <v>0.07692307692</v>
      </c>
      <c r="T3" s="20" t="s">
        <v>14</v>
      </c>
      <c r="U3" s="21">
        <f t="shared" ref="U3:U7" si="11">COUNTIF(V$10:V1007,T3)</f>
        <v>0</v>
      </c>
      <c r="V3" s="22">
        <f t="shared" ref="V3:V7" si="12">U3/SUM(U$3:U$7)</f>
        <v>0</v>
      </c>
      <c r="W3" s="20" t="s">
        <v>14</v>
      </c>
      <c r="X3" s="21">
        <f t="shared" ref="X3:X7" si="13">COUNTIF(Y$10:Y1007,W3)</f>
        <v>0</v>
      </c>
      <c r="Y3" s="22">
        <f t="shared" ref="Y3:Y7" si="14">X3/SUM(X$3:X$7)</f>
        <v>0</v>
      </c>
      <c r="Z3" s="20" t="s">
        <v>14</v>
      </c>
      <c r="AA3" s="21">
        <f t="shared" ref="AA3:AA7" si="15">COUNTIF(AB$10:AB1007,Z3)</f>
        <v>0</v>
      </c>
      <c r="AB3" s="22">
        <f t="shared" ref="AB3:AB7" si="16">AA3/SUM(AA$3:AA$7)</f>
        <v>0</v>
      </c>
      <c r="AC3" s="20" t="s">
        <v>14</v>
      </c>
      <c r="AD3" s="21">
        <f t="shared" ref="AD3:AD7" si="17">COUNTIF(AE$10:AE1007,AC3)</f>
        <v>0</v>
      </c>
      <c r="AE3" s="22">
        <f t="shared" ref="AE3:AE7" si="18">AD3/SUM(AD$3:AD$7)</f>
        <v>0</v>
      </c>
      <c r="AF3" s="20" t="s">
        <v>14</v>
      </c>
      <c r="AG3" s="21">
        <f t="shared" ref="AG3:AG7" si="19">COUNTIF(AH$10:AH1007,AF3)</f>
        <v>3</v>
      </c>
      <c r="AH3" s="22">
        <f t="shared" ref="AH3:AH7" si="20">AG3/SUM(AG$3:AG$7)</f>
        <v>0.2142857143</v>
      </c>
      <c r="AI3" s="20" t="s">
        <v>14</v>
      </c>
      <c r="AJ3" s="21">
        <f t="shared" ref="AJ3:AJ7" si="21">COUNTIF(AK$10:AK1007,AI3)</f>
        <v>0</v>
      </c>
      <c r="AK3" s="22">
        <f t="shared" ref="AK3:AK7" si="22">AJ3/SUM(AJ$3:AJ$7)</f>
        <v>0</v>
      </c>
      <c r="AL3" s="20" t="s">
        <v>14</v>
      </c>
      <c r="AM3" s="21">
        <f t="shared" ref="AM3:AM7" si="23">COUNTIF(AN$10:AN1007,AL3)</f>
        <v>0</v>
      </c>
      <c r="AN3" s="22">
        <f t="shared" ref="AN3:AN7" si="24">AM3/SUM(AM$3:AM$7)</f>
        <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2</v>
      </c>
      <c r="G4" s="22">
        <f t="shared" si="2"/>
        <v>0.1176470588</v>
      </c>
      <c r="H4" s="20" t="s">
        <v>15</v>
      </c>
      <c r="I4" s="21">
        <f t="shared" si="3"/>
        <v>2</v>
      </c>
      <c r="J4" s="22">
        <f t="shared" si="4"/>
        <v>0.125</v>
      </c>
      <c r="K4" s="20" t="s">
        <v>15</v>
      </c>
      <c r="L4" s="21">
        <f t="shared" si="5"/>
        <v>0</v>
      </c>
      <c r="M4" s="22">
        <f t="shared" si="6"/>
        <v>0</v>
      </c>
      <c r="N4" s="20" t="s">
        <v>15</v>
      </c>
      <c r="O4" s="21">
        <f t="shared" si="7"/>
        <v>0</v>
      </c>
      <c r="P4" s="22">
        <f t="shared" si="8"/>
        <v>0</v>
      </c>
      <c r="Q4" s="20" t="s">
        <v>15</v>
      </c>
      <c r="R4" s="21">
        <f t="shared" si="9"/>
        <v>0</v>
      </c>
      <c r="S4" s="22">
        <f t="shared" si="10"/>
        <v>0</v>
      </c>
      <c r="T4" s="20" t="s">
        <v>15</v>
      </c>
      <c r="U4" s="21">
        <f t="shared" si="11"/>
        <v>0</v>
      </c>
      <c r="V4" s="22">
        <f t="shared" si="12"/>
        <v>0</v>
      </c>
      <c r="W4" s="20" t="s">
        <v>15</v>
      </c>
      <c r="X4" s="21">
        <f t="shared" si="13"/>
        <v>0</v>
      </c>
      <c r="Y4" s="22">
        <f t="shared" si="14"/>
        <v>0</v>
      </c>
      <c r="Z4" s="20" t="s">
        <v>15</v>
      </c>
      <c r="AA4" s="21">
        <f t="shared" si="15"/>
        <v>0</v>
      </c>
      <c r="AB4" s="22">
        <f t="shared" si="16"/>
        <v>0</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f t="shared" si="24"/>
        <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6</v>
      </c>
      <c r="G5" s="22">
        <f t="shared" si="2"/>
        <v>0.3529411765</v>
      </c>
      <c r="H5" s="20" t="s">
        <v>16</v>
      </c>
      <c r="I5" s="21">
        <f t="shared" si="3"/>
        <v>4</v>
      </c>
      <c r="J5" s="22">
        <f t="shared" si="4"/>
        <v>0.25</v>
      </c>
      <c r="K5" s="20" t="s">
        <v>16</v>
      </c>
      <c r="L5" s="21">
        <f t="shared" si="5"/>
        <v>0</v>
      </c>
      <c r="M5" s="22">
        <f t="shared" si="6"/>
        <v>0</v>
      </c>
      <c r="N5" s="20" t="s">
        <v>16</v>
      </c>
      <c r="O5" s="21">
        <f t="shared" si="7"/>
        <v>0</v>
      </c>
      <c r="P5" s="22">
        <f t="shared" si="8"/>
        <v>0</v>
      </c>
      <c r="Q5" s="20" t="s">
        <v>16</v>
      </c>
      <c r="R5" s="21">
        <f t="shared" si="9"/>
        <v>1</v>
      </c>
      <c r="S5" s="22">
        <f t="shared" si="10"/>
        <v>0.07692307692</v>
      </c>
      <c r="T5" s="20" t="s">
        <v>16</v>
      </c>
      <c r="U5" s="21">
        <f t="shared" si="11"/>
        <v>0</v>
      </c>
      <c r="V5" s="22">
        <f t="shared" si="12"/>
        <v>0</v>
      </c>
      <c r="W5" s="20" t="s">
        <v>16</v>
      </c>
      <c r="X5" s="21">
        <f t="shared" si="13"/>
        <v>0</v>
      </c>
      <c r="Y5" s="22">
        <f t="shared" si="14"/>
        <v>0</v>
      </c>
      <c r="Z5" s="20" t="s">
        <v>16</v>
      </c>
      <c r="AA5" s="21">
        <f t="shared" si="15"/>
        <v>4</v>
      </c>
      <c r="AB5" s="22">
        <f t="shared" si="16"/>
        <v>0.3636363636</v>
      </c>
      <c r="AC5" s="20" t="s">
        <v>16</v>
      </c>
      <c r="AD5" s="21">
        <f t="shared" si="17"/>
        <v>1</v>
      </c>
      <c r="AE5" s="22">
        <f t="shared" si="18"/>
        <v>0.3333333333</v>
      </c>
      <c r="AF5" s="20" t="s">
        <v>16</v>
      </c>
      <c r="AG5" s="21">
        <f t="shared" si="19"/>
        <v>4</v>
      </c>
      <c r="AH5" s="22">
        <f t="shared" si="20"/>
        <v>0.2857142857</v>
      </c>
      <c r="AI5" s="20" t="s">
        <v>16</v>
      </c>
      <c r="AJ5" s="21">
        <f t="shared" si="21"/>
        <v>4</v>
      </c>
      <c r="AK5" s="22">
        <f t="shared" si="22"/>
        <v>1</v>
      </c>
      <c r="AL5" s="20" t="s">
        <v>16</v>
      </c>
      <c r="AM5" s="21">
        <f t="shared" si="23"/>
        <v>0</v>
      </c>
      <c r="AN5" s="22">
        <f t="shared" si="24"/>
        <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4</v>
      </c>
      <c r="G6" s="22">
        <f t="shared" si="2"/>
        <v>0.2352941176</v>
      </c>
      <c r="H6" s="20" t="s">
        <v>17</v>
      </c>
      <c r="I6" s="21">
        <f t="shared" si="3"/>
        <v>5</v>
      </c>
      <c r="J6" s="22">
        <f t="shared" si="4"/>
        <v>0.3125</v>
      </c>
      <c r="K6" s="20" t="s">
        <v>17</v>
      </c>
      <c r="L6" s="21">
        <f t="shared" si="5"/>
        <v>2</v>
      </c>
      <c r="M6" s="22">
        <f t="shared" si="6"/>
        <v>0.1818181818</v>
      </c>
      <c r="N6" s="20" t="s">
        <v>17</v>
      </c>
      <c r="O6" s="21">
        <f t="shared" si="7"/>
        <v>2</v>
      </c>
      <c r="P6" s="22">
        <f t="shared" si="8"/>
        <v>0.2857142857</v>
      </c>
      <c r="Q6" s="20" t="s">
        <v>17</v>
      </c>
      <c r="R6" s="21">
        <f t="shared" si="9"/>
        <v>4</v>
      </c>
      <c r="S6" s="22">
        <f t="shared" si="10"/>
        <v>0.3076923077</v>
      </c>
      <c r="T6" s="20" t="s">
        <v>17</v>
      </c>
      <c r="U6" s="21">
        <f t="shared" si="11"/>
        <v>3</v>
      </c>
      <c r="V6" s="22">
        <f t="shared" si="12"/>
        <v>0.75</v>
      </c>
      <c r="W6" s="20" t="s">
        <v>17</v>
      </c>
      <c r="X6" s="21">
        <f t="shared" si="13"/>
        <v>0</v>
      </c>
      <c r="Y6" s="22">
        <f t="shared" si="14"/>
        <v>0</v>
      </c>
      <c r="Z6" s="20" t="s">
        <v>17</v>
      </c>
      <c r="AA6" s="21">
        <f t="shared" si="15"/>
        <v>3</v>
      </c>
      <c r="AB6" s="22">
        <f t="shared" si="16"/>
        <v>0.2727272727</v>
      </c>
      <c r="AC6" s="20" t="s">
        <v>17</v>
      </c>
      <c r="AD6" s="21">
        <f t="shared" si="17"/>
        <v>0</v>
      </c>
      <c r="AE6" s="22">
        <f t="shared" si="18"/>
        <v>0</v>
      </c>
      <c r="AF6" s="20" t="s">
        <v>17</v>
      </c>
      <c r="AG6" s="21">
        <f t="shared" si="19"/>
        <v>5</v>
      </c>
      <c r="AH6" s="22">
        <f t="shared" si="20"/>
        <v>0.3571428571</v>
      </c>
      <c r="AI6" s="20" t="s">
        <v>17</v>
      </c>
      <c r="AJ6" s="21">
        <f t="shared" si="21"/>
        <v>0</v>
      </c>
      <c r="AK6" s="22">
        <f t="shared" si="22"/>
        <v>0</v>
      </c>
      <c r="AL6" s="20" t="s">
        <v>17</v>
      </c>
      <c r="AM6" s="21">
        <f t="shared" si="23"/>
        <v>0</v>
      </c>
      <c r="AN6" s="22">
        <f t="shared" si="24"/>
        <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3</v>
      </c>
      <c r="G7" s="22">
        <f t="shared" si="2"/>
        <v>0.1764705882</v>
      </c>
      <c r="H7" s="20" t="s">
        <v>18</v>
      </c>
      <c r="I7" s="21">
        <f t="shared" si="3"/>
        <v>5</v>
      </c>
      <c r="J7" s="22">
        <f t="shared" si="4"/>
        <v>0.3125</v>
      </c>
      <c r="K7" s="20" t="s">
        <v>18</v>
      </c>
      <c r="L7" s="21">
        <f t="shared" si="5"/>
        <v>8</v>
      </c>
      <c r="M7" s="22">
        <f t="shared" si="6"/>
        <v>0.7272727273</v>
      </c>
      <c r="N7" s="20" t="s">
        <v>18</v>
      </c>
      <c r="O7" s="21">
        <f t="shared" si="7"/>
        <v>4</v>
      </c>
      <c r="P7" s="22">
        <f t="shared" si="8"/>
        <v>0.5714285714</v>
      </c>
      <c r="Q7" s="20" t="s">
        <v>18</v>
      </c>
      <c r="R7" s="21">
        <f t="shared" si="9"/>
        <v>7</v>
      </c>
      <c r="S7" s="22">
        <f t="shared" si="10"/>
        <v>0.5384615385</v>
      </c>
      <c r="T7" s="20" t="s">
        <v>18</v>
      </c>
      <c r="U7" s="21">
        <f t="shared" si="11"/>
        <v>1</v>
      </c>
      <c r="V7" s="22">
        <f t="shared" si="12"/>
        <v>0.25</v>
      </c>
      <c r="W7" s="20" t="s">
        <v>18</v>
      </c>
      <c r="X7" s="21">
        <f t="shared" si="13"/>
        <v>1</v>
      </c>
      <c r="Y7" s="22">
        <f t="shared" si="14"/>
        <v>1</v>
      </c>
      <c r="Z7" s="20" t="s">
        <v>18</v>
      </c>
      <c r="AA7" s="21">
        <f t="shared" si="15"/>
        <v>4</v>
      </c>
      <c r="AB7" s="22">
        <f t="shared" si="16"/>
        <v>0.3636363636</v>
      </c>
      <c r="AC7" s="20" t="s">
        <v>18</v>
      </c>
      <c r="AD7" s="21">
        <f t="shared" si="17"/>
        <v>2</v>
      </c>
      <c r="AE7" s="22">
        <f t="shared" si="18"/>
        <v>0.6666666667</v>
      </c>
      <c r="AF7" s="20" t="s">
        <v>18</v>
      </c>
      <c r="AG7" s="21">
        <f t="shared" si="19"/>
        <v>2</v>
      </c>
      <c r="AH7" s="22">
        <f t="shared" si="20"/>
        <v>0.1428571429</v>
      </c>
      <c r="AI7" s="20" t="s">
        <v>18</v>
      </c>
      <c r="AJ7" s="21">
        <f t="shared" si="21"/>
        <v>0</v>
      </c>
      <c r="AK7" s="22">
        <f t="shared" si="22"/>
        <v>0</v>
      </c>
      <c r="AL7" s="20" t="s">
        <v>18</v>
      </c>
      <c r="AM7" s="21">
        <f t="shared" si="23"/>
        <v>1</v>
      </c>
      <c r="AN7" s="22">
        <f t="shared" si="24"/>
        <v>1</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17</v>
      </c>
      <c r="G8" s="25">
        <f>SUM(G6:G7)</f>
        <v>0.4117647059</v>
      </c>
      <c r="H8" s="24" t="s">
        <v>13</v>
      </c>
      <c r="I8" s="5">
        <f>SUM(I3:I7)</f>
        <v>16</v>
      </c>
      <c r="J8" s="25">
        <f>SUM(J6:J7)</f>
        <v>0.625</v>
      </c>
      <c r="K8" s="24" t="s">
        <v>13</v>
      </c>
      <c r="L8" s="5">
        <f>SUM(L3:L7)</f>
        <v>11</v>
      </c>
      <c r="M8" s="25">
        <f>SUM(M6:M7)</f>
        <v>0.9090909091</v>
      </c>
      <c r="N8" s="24" t="s">
        <v>13</v>
      </c>
      <c r="O8" s="5">
        <f>SUM(O3:O7)</f>
        <v>7</v>
      </c>
      <c r="P8" s="25">
        <f>SUM(P6:P7)</f>
        <v>0.8571428571</v>
      </c>
      <c r="Q8" s="24" t="s">
        <v>13</v>
      </c>
      <c r="R8" s="5">
        <f>SUM(R3:R7)</f>
        <v>13</v>
      </c>
      <c r="S8" s="25">
        <f>SUM(S6:S7)</f>
        <v>0.8461538462</v>
      </c>
      <c r="T8" s="24" t="s">
        <v>13</v>
      </c>
      <c r="U8" s="5">
        <f>SUM(U3:U7)</f>
        <v>4</v>
      </c>
      <c r="V8" s="25">
        <f>SUM(V6:V7)</f>
        <v>1</v>
      </c>
      <c r="W8" s="24" t="s">
        <v>13</v>
      </c>
      <c r="X8" s="5">
        <f>SUM(X3:X7)</f>
        <v>1</v>
      </c>
      <c r="Y8" s="25">
        <f>SUM(Y6:Y7)</f>
        <v>1</v>
      </c>
      <c r="Z8" s="24" t="s">
        <v>13</v>
      </c>
      <c r="AA8" s="5">
        <f>SUM(AA3:AA7)</f>
        <v>11</v>
      </c>
      <c r="AB8" s="25">
        <f>SUM(AB6:AB7)</f>
        <v>0.6363636364</v>
      </c>
      <c r="AC8" s="24" t="s">
        <v>13</v>
      </c>
      <c r="AD8" s="5">
        <f>SUM(AD3:AD7)</f>
        <v>3</v>
      </c>
      <c r="AE8" s="25">
        <f>SUM(AE6:AE7)</f>
        <v>0.6666666667</v>
      </c>
      <c r="AF8" s="24" t="s">
        <v>13</v>
      </c>
      <c r="AG8" s="5">
        <f>SUM(AG3:AG7)</f>
        <v>14</v>
      </c>
      <c r="AH8" s="25">
        <f>SUM(AH6:AH7)</f>
        <v>0.5</v>
      </c>
      <c r="AI8" s="24" t="s">
        <v>13</v>
      </c>
      <c r="AJ8" s="5">
        <f>SUM(AJ3:AJ7)</f>
        <v>4</v>
      </c>
      <c r="AK8" s="25">
        <f>SUM(AK6:AK7)</f>
        <v>0</v>
      </c>
      <c r="AL8" s="24" t="s">
        <v>13</v>
      </c>
      <c r="AM8" s="5">
        <f>SUM(AM3:AM7)</f>
        <v>1</v>
      </c>
      <c r="AN8" s="25">
        <f>SUM(AN6:AN7)</f>
        <v>1</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['take', 'knee', 'player']</v>
      </c>
      <c r="F9" s="28"/>
      <c r="G9" s="29"/>
      <c r="H9" s="27" t="str">
        <f>IF((COLUMN(H9) - 2)/3 = INT((COLUMN(H9) - 2)/3), INDIRECT("R1C"&amp;CEILING(4 + COLUMN(H9)/3,1), FALSE), "")</f>
        <v>['champion', 'final', 'leagu', 'footbal', 'win']</v>
      </c>
      <c r="I9" s="28"/>
      <c r="J9" s="29"/>
      <c r="K9" s="27" t="str">
        <f>IF((COLUMN(K9) - 2)/3 = INT((COLUMN(K9) - 2)/3), INDIRECT("R1C"&amp;CEILING(4 + COLUMN(K9)/3,1), FALSE), "")</f>
        <v>['touch', 'cross', 'ball', 'pass']</v>
      </c>
      <c r="L9" s="28"/>
      <c r="M9" s="29"/>
      <c r="N9" s="27" t="str">
        <f>IF((COLUMN(N9) - 2)/3 = INT((COLUMN(N9) - 2)/3), INDIRECT("R1C"&amp;CEILING(4 + COLUMN(N9)/3,1), FALSE), "")</f>
        <v>['deflect', 'kick', 'corner', 'shot', 'net']</v>
      </c>
      <c r="O9" s="28"/>
      <c r="P9" s="29"/>
      <c r="Q9" s="27" t="str">
        <f>IF((COLUMN(Q9) - 2)/3 = INT((COLUMN(Q9) - 2)/3), INDIRECT("R1C"&amp;CEILING(4 + COLUMN(Q9)/3,1), FALSE), "")</f>
        <v>['goal', 'score', 'conced', 'equalis', 'offsid', 'assist']</v>
      </c>
      <c r="R9" s="28"/>
      <c r="S9" s="29"/>
      <c r="T9" s="27" t="str">
        <f>IF((COLUMN(T9) - 2)/3 = INT((COLUMN(T9) - 2)/3), INDIRECT("R1C"&amp;CEILING(4 + COLUMN(T9)/3,1), FALSE), "")</f>
        <v>['gol', 'stream', 'onlin', 'free', 'reddit', 'link', 'EXCLUDED-manchest', 'ff', 'live']</v>
      </c>
      <c r="U9" s="28"/>
      <c r="V9" s="29"/>
      <c r="W9" s="27" t="str">
        <f>IF((COLUMN(W9) - 2)/3 = INT((COLUMN(W9) - 2)/3), INDIRECT("R1C"&amp;CEILING(4 + COLUMN(W9)/3,1), FALSE), "")</f>
        <v>['hit', 'post']</v>
      </c>
      <c r="X9" s="28"/>
      <c r="Y9" s="29"/>
      <c r="Z9" s="27" t="str">
        <f>IF((COLUMN(Z9) - 2)/3 = INT((COLUMN(Z9) - 2)/3), INDIRECT("R1C"&amp;CEILING(4 + COLUMN(Z9)/3,1), FALSE), "")</f>
        <v>['keeper', 'best', 'goalkeep', 'defend', 'EXCLUDED-kepa', 'save']</v>
      </c>
      <c r="AA9" s="28"/>
      <c r="AB9" s="29"/>
      <c r="AC9" s="27" t="str">
        <f>IF((COLUMN(AC9) - 2)/3 = INT((COLUMN(AC9) - 2)/3), INDIRECT("R1C"&amp;CEILING(4 + COLUMN(AC9)/3,1), FALSE), "")</f>
        <v>['foul', 'refere', 'book', 'decis', 'var', 'given', 'pen', 'dive', 'ref', 'penalti']</v>
      </c>
      <c r="AD9" s="28"/>
      <c r="AE9" s="29"/>
      <c r="AF9" s="27" t="str">
        <f>IF((COLUMN(AF9) - 2)/3 = INT((COLUMN(AF9) - 2)/3), INDIRECT("R1C"&amp;CEILING(4 + COLUMN(AF9)/3,1), FALSE), "")</f>
        <v>['need', 'half', 'sub', 'second', 'lead', '2nd']</v>
      </c>
      <c r="AG9" s="28"/>
      <c r="AH9" s="29"/>
      <c r="AI9" s="27" t="str">
        <f>IF((COLUMN(AI9) - 2)/3 = INT((COLUMN(AI9) - 2)/3), INDIRECT("R1C"&amp;CEILING(4 + COLUMN(AI9)/3,1), FALSE), "")</f>
        <v>['world', 'class', 'striker']</v>
      </c>
      <c r="AJ9" s="28"/>
      <c r="AK9" s="29"/>
      <c r="AL9" s="27" t="str">
        <f>IF((COLUMN(AL9) - 2)/3 = INT((COLUMN(AL9) - 2)/3), INDIRECT("R1C"&amp;CEILING(4 + COLUMN(AL9)/3,1), FALSE), "")</f>
        <v>['tackl', 'dribbl', 'yellow', 'red', 'card']</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NOT(ISERROR($E3:DF3))))"),8.0)</f>
        <v>8</v>
      </c>
      <c r="D10" s="26">
        <f t="shared" ref="D10:D14" si="63">$C10/$C$15</f>
        <v>0.07843137255</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NOT(ISERROR($E4:DF4))))"),4.0)</f>
        <v>4</v>
      </c>
      <c r="D11" s="26">
        <f t="shared" si="63"/>
        <v>0.03921568627</v>
      </c>
      <c r="E11" s="40">
        <f>IFERROR(__xludf.DUMMYFUNCTION("""COMPUTED_VALUE"""),44358.790300925924)</f>
        <v>44358.7903</v>
      </c>
      <c r="F11" s="5" t="str">
        <f>IFERROR(__xludf.DUMMYFUNCTION("""COMPUTED_VALUE"""),"Can't believe chiellini is still player at 50 👀. Watch Barella and takes notes people. EURO 2020. Now that's how you sing your national anthem. England players take note #ita. I have a feeling that my favourite player to watch will be Okay tonight! EURO "&amp;"2020 #TURITA.")</f>
        <v>Can't believe chiellini is still player at 50 👀. Watch Barella and takes notes people. EURO 2020. Now that's how you sing your national anthem. England players take note #ita. I have a feeling that my favourite player to watch will be Okay tonight! EURO 2020 #TURITA.</v>
      </c>
      <c r="G11" s="5"/>
      <c r="H11" s="40">
        <f>IFERROR(__xludf.DUMMYFUNCTION("""COMPUTED_VALUE"""),44358.79063657408)</f>
        <v>44358.79064</v>
      </c>
      <c r="I11" s="5" t="str">
        <f>IFERROR(__xludf.DUMMYFUNCTION("""COMPUTED_VALUE"""),"Football is back 😍😍😍. #TURITA. Football! Yes! #TURITA EURO 2020. So Chiellini no go retire from football? Chiellini honestly has the biggest nose in football 😂. Feel like i was watching chiellini play football my whole life. Is Chiellini the best 'bas"&amp;"tard' still in football?")</f>
        <v>Football is back 😍😍😍. #TURITA. Football! Yes! #TURITA EURO 2020. So Chiellini no go retire from football? Chiellini honestly has the biggest nose in football 😂. Feel like i was watching chiellini play football my whole life. Is Chiellini the best 'bastard' still in football?</v>
      </c>
      <c r="J11" s="5"/>
      <c r="K11" s="40">
        <f>IFERROR(__xludf.DUMMYFUNCTION("""COMPUTED_VALUE"""),44358.79232638889)</f>
        <v>44358.79233</v>
      </c>
      <c r="L11" s="5" t="str">
        <f>IFERROR(__xludf.DUMMYFUNCTION("""COMPUTED_VALUE"""),"Insigne was defo driving that car with the ball in 😂. Genius that match ball in a car thingy 👏🏻 #ita #tur. Why did they use Insigne’s car to bring the ball on the pitch? That car must be brought into the premiership -the car presentation of the ball wa"&amp;"s brilliant 👏🏽👏🏽#TURITA.")</f>
        <v>Insigne was defo driving that car with the ball in 😂. Genius that match ball in a car thingy 👏🏻 #ita #tur. Why did they use Insigne’s car to bring the ball on the pitch? That car must be brought into the premiership -the car presentation of the ball was brilliant 👏🏽👏🏽#TURITA.</v>
      </c>
      <c r="M11" s="39" t="s">
        <v>18</v>
      </c>
      <c r="N11" s="40">
        <f>IFERROR(__xludf.DUMMYFUNCTION("""COMPUTED_VALUE"""),44358.794016203705)</f>
        <v>44358.79402</v>
      </c>
      <c r="O11" s="5" t="str">
        <f>IFERROR(__xludf.DUMMYFUNCTION("""COMPUTED_VALUE"""),"Would’ve been better if the car had kicked the ball to the ref #TURITA EURO 2020. Andrea Bocelli, Mancini’s jacket, the RC VW carrying the ball… proper Euro-madness to kick off EURO 2020. The cast of Downsizing driving the ball to the halfway line for kic"&amp;"k-off. Nice. #TURITA.")</f>
        <v>Would’ve been better if the car had kicked the ball to the ref #TURITA EURO 2020. Andrea Bocelli, Mancini’s jacket, the RC VW carrying the ball… proper Euro-madness to kick off EURO 2020. The cast of Downsizing driving the ball to the halfway line for kick-off. Nice. #TURITA.</v>
      </c>
      <c r="P11" s="39" t="s">
        <v>18</v>
      </c>
      <c r="Q11" s="40">
        <f>IFERROR(__xludf.DUMMYFUNCTION("""COMPUTED_VALUE"""),44358.804247685184)</f>
        <v>44358.80425</v>
      </c>
      <c r="R11" s="5" t="str">
        <f>IFERROR(__xludf.DUMMYFUNCTION("""COMPUTED_VALUE"""),"That should have been a goal INSIGNE! Insigne should be scoring that. 😌. La hawla this midget Insigne robbing me off a Berardi assist. I reckon Insigne is small enough to fit in that tiny car and that means he could take goal celebrations to a whole new "&amp;"level.")</f>
        <v>That should have been a goal INSIGNE! Insigne should be scoring that. 😌. La hawla this midget Insigne robbing me off a Berardi assist. I reckon Insigne is small enough to fit in that tiny car and that means he could take goal celebrations to a whole new level.</v>
      </c>
      <c r="S11" s="39" t="s">
        <v>18</v>
      </c>
      <c r="T11" s="40">
        <f>IFERROR(__xludf.DUMMYFUNCTION("""COMPUTED_VALUE"""),44358.80425925926)</f>
        <v>44358.80426</v>
      </c>
      <c r="U11" s="5" t="str">
        <f>IFERROR(__xludf.DUMMYFUNCTION("""COMPUTED_VALUE"""),"INSIGNE YOU HAVE TO SCORE FFS. Ffsss Insigne bottleman. BURY THAT INSIGNE FFS. Insigne ffs so close. Ffs Insigne. Look at Insigne ffs. Ffs Insigne i last minute transferred you into my Fantasy team. Ffs insigne, I saw 4 points being stole in front of me e"&amp;"yes. COME ON INSIGNE FFS.")</f>
        <v>INSIGNE YOU HAVE TO SCORE FFS. Ffsss Insigne bottleman. BURY THAT INSIGNE FFS. Insigne ffs so close. Ffs Insigne. Look at Insigne ffs. Ffs Insigne i last minute transferred you into my Fantasy team. Ffs insigne, I saw 4 points being stole in front of me eyes. COME ON INSIGNE FFS.</v>
      </c>
      <c r="V11" s="39" t="s">
        <v>18</v>
      </c>
      <c r="W11" s="40">
        <f>IFERROR(__xludf.DUMMYFUNCTION("""COMPUTED_VALUE"""),44358.80482638889)</f>
        <v>44358.80483</v>
      </c>
      <c r="X11" s="5" t="str">
        <f>IFERROR(__xludf.DUMMYFUNCTION("""COMPUTED_VALUE"""),"Insigne has to hit that on target. Go near post insigne. Lovely one two, Insigne tries to curl it inside the far post but gets it wrong and it goes wide. 0-0 (18) Dooooh Insigne should have hit the target. Insigne with a miss post-Liverpool Torres would h"&amp;"ave been proud of #TURITA.")</f>
        <v>Insigne has to hit that on target. Go near post insigne. Lovely one two, Insigne tries to curl it inside the far post but gets it wrong and it goes wide. 0-0 (18) Dooooh Insigne should have hit the target. Insigne with a miss post-Liverpool Torres would have been proud of #TURITA.</v>
      </c>
      <c r="Y11" s="39" t="s">
        <v>18</v>
      </c>
      <c r="Z11" s="40">
        <f>IFERROR(__xludf.DUMMYFUNCTION("""COMPUTED_VALUE"""),44358.80731481481)</f>
        <v>44358.80731</v>
      </c>
      <c r="AA11" s="5" t="str">
        <f>IFERROR(__xludf.DUMMYFUNCTION("""COMPUTED_VALUE"""),"What a save from the keeper on Chiellini’s header. What a save by Cakir! Awful marking by Turkey aswell. Outrageous save from Cakir 👏 would have loved Chiellini to score the opening goal of the tournament EURO 2020. The save from the keeper was impressiv"&amp;"e EURO 2020 #TURITA.")</f>
        <v>What a save from the keeper on Chiellini’s header. What a save by Cakir! Awful marking by Turkey aswell. Outrageous save from Cakir 👏 would have loved Chiellini to score the opening goal of the tournament EURO 2020. The save from the keeper was impressive EURO 2020 #TURITA.</v>
      </c>
      <c r="AB11" s="39" t="s">
        <v>18</v>
      </c>
      <c r="AC11" s="40">
        <f>IFERROR(__xludf.DUMMYFUNCTION("""COMPUTED_VALUE"""),44358.807800925926)</f>
        <v>44358.8078</v>
      </c>
      <c r="AD11" s="5" t="str">
        <f>IFERROR(__xludf.DUMMYFUNCTION("""COMPUTED_VALUE"""),"Penalty appeals central, even VAR isn't having those though EURO 2020 #TURITA. Why TF is VAR in another country 😂😂😂 #ITATUR. VAR 0 for 1 after that clear Soyuncu handball. Are the VAR refs in full kit for this tournament? In a different country to the "&amp;"games. EURO 2020 #TURITA.")</f>
        <v>Penalty appeals central, even VAR isn't having those though EURO 2020 #TURITA. Why TF is VAR in another country 😂😂😂 #ITATUR. VAR 0 for 1 after that clear Soyuncu handball. Are the VAR refs in full kit for this tournament? In a different country to the games. EURO 2020 #TURITA.</v>
      </c>
      <c r="AE11" s="39" t="s">
        <v>18</v>
      </c>
      <c r="AF11" s="40">
        <f>IFERROR(__xludf.DUMMYFUNCTION("""COMPUTED_VALUE"""),44358.813368055555)</f>
        <v>44358.81337</v>
      </c>
      <c r="AG11" s="5" t="str">
        <f>IFERROR(__xludf.DUMMYFUNCTION("""COMPUTED_VALUE"""),"Turkey haven't turned up and look nervous in this half #ITATUR. Insigne a half space demon. #ITA with 65% possession through half an hour. But just 7 touches for Immobile. EURO 2020. A lot of bad decisions in this first half by the Italian team euro 2020 "&amp;"#TURITA.")</f>
        <v>Turkey haven't turned up and look nervous in this half #ITATUR. Insigne a half space demon. #ITA with 65% possession through half an hour. But just 7 touches for Immobile. EURO 2020. A lot of bad decisions in this first half by the Italian team euro 2020 #TURITA.</v>
      </c>
      <c r="AH11" s="39" t="s">
        <v>18</v>
      </c>
      <c r="AI11" s="40">
        <f>IFERROR(__xludf.DUMMYFUNCTION("""COMPUTED_VALUE"""),44358.8234375)</f>
        <v>44358.82344</v>
      </c>
      <c r="AJ11" s="5" t="str">
        <f>IFERROR(__xludf.DUMMYFUNCTION("""COMPUTED_VALUE"""),"Spinazzola has been class till now! Jorginho world clarse. Jorginho is actually world clarse. Not being reactionary but Spinazzola is the best full back in the world. Spinazzola has been class this first half. Spinazzola is class! Spinazzola is class.")</f>
        <v>Spinazzola has been class till now! Jorginho world clarse. Jorginho is actually world clarse. Not being reactionary but Spinazzola is the best full back in the world. Spinazzola has been class this first half. Spinazzola is class! Spinazzola is class.</v>
      </c>
      <c r="AK11" s="39" t="s">
        <v>16</v>
      </c>
      <c r="AL11" s="40">
        <f>IFERROR(__xludf.DUMMYFUNCTION("""COMPUTED_VALUE"""),44358.86813657408)</f>
        <v>44358.86814</v>
      </c>
      <c r="AM11" s="5" t="str">
        <f>IFERROR(__xludf.DUMMYFUNCTION("""COMPUTED_VALUE"""),"All those years of experience from chiellini there, what a tackle. Chiellini lunging in for tackles like he's not been 36 for the last 3 tournaments. 📸 - Wonderful tackle from Chiellini to deny Yilmaz from scoring there... Chiellini celebrating a tackle "&amp;"3-0 up. Love to see it.")</f>
        <v>All those years of experience from chiellini there, what a tackle. Chiellini lunging in for tackles like he's not been 36 for the last 3 tournaments. 📸 - Wonderful tackle from Chiellini to deny Yilmaz from scoring there... Chiellini celebrating a tackle 3-0 up. Love to see it.</v>
      </c>
      <c r="AN11" s="39" t="s">
        <v>18</v>
      </c>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NOT(ISERROR($E5:DF5))))"),24.0)</f>
        <v>24</v>
      </c>
      <c r="D12" s="26">
        <f t="shared" si="63"/>
        <v>0.2352941176</v>
      </c>
      <c r="E12" s="40">
        <f>IFERROR(__xludf.DUMMYFUNCTION("""COMPUTED_VALUE"""),44358.792604166665)</f>
        <v>44358.7926</v>
      </c>
      <c r="F12" s="5" t="str">
        <f>IFERROR(__xludf.DUMMYFUNCTION("""COMPUTED_VALUE"""),"Yilmaz taking over vs Italy. Ffs hope a player volleys that car Ita Tur EURO 2020. Did you see that little VW car to take the ball out 🤣. EURO 2020. #ita. I cy just see that remote-controlled car taking out some star player before kickoff #TURITA EURO 20"&amp;"20.")</f>
        <v>Yilmaz taking over vs Italy. Ffs hope a player volleys that car Ita Tur EURO 2020. Did you see that little VW car to take the ball out 🤣. EURO 2020. #ita. I cy just see that remote-controlled car taking out some star player before kickoff #TURITA EURO 2020.</v>
      </c>
      <c r="G12" s="39" t="s">
        <v>18</v>
      </c>
      <c r="H12" s="40">
        <f>IFERROR(__xludf.DUMMYFUNCTION("""COMPUTED_VALUE"""),44358.79236111111)</f>
        <v>44358.79236</v>
      </c>
      <c r="I12" s="5" t="str">
        <f>IFERROR(__xludf.DUMMYFUNCTION("""COMPUTED_VALUE"""),"EURO 2020 #TURITA Euro 2020, sponsored by Rocket League! Ok I want a VW football delivering car #TURITA EURO 2020. He Rocket League #TURITA EURO 2020. Getting excited then thought the ball carrying remote control car was gonna start playing Rocket League "&amp;"🚀 ⚽️. EURO 2020 #TURITA.")</f>
        <v>EURO 2020 #TURITA Euro 2020, sponsored by Rocket League! Ok I want a VW football delivering car #TURITA EURO 2020. He Rocket League #TURITA EURO 2020. Getting excited then thought the ball carrying remote control car was gonna start playing Rocket League 🚀 ⚽️. EURO 2020 #TURITA.</v>
      </c>
      <c r="J12" s="39" t="s">
        <v>18</v>
      </c>
      <c r="K12" s="40">
        <f>IFERROR(__xludf.DUMMYFUNCTION("""COMPUTED_VALUE"""),44358.8116087963)</f>
        <v>44358.81161</v>
      </c>
      <c r="L12" s="5" t="str">
        <f>IFERROR(__xludf.DUMMYFUNCTION("""COMPUTED_VALUE"""),"Is soyuncu supposed to be good on the ball. Soyuncu has to stop losing the ball😂. It's good pressing from Italy, but Söyüncü and Demiral not showing what they can do on the ball so far. Soyuncu get out and let my boy Kabak ball.")</f>
        <v>Is soyuncu supposed to be good on the ball. Soyuncu has to stop losing the ball😂. It's good pressing from Italy, but Söyüncü and Demiral not showing what they can do on the ball so far. Soyuncu get out and let my boy Kabak ball.</v>
      </c>
      <c r="M12" s="39" t="s">
        <v>18</v>
      </c>
      <c r="N12" s="40">
        <f>IFERROR(__xludf.DUMMYFUNCTION("""COMPUTED_VALUE"""),44358.8368287037)</f>
        <v>44358.83683</v>
      </c>
      <c r="O12" s="5" t="str">
        <f>IFERROR(__xludf.DUMMYFUNCTION("""COMPUTED_VALUE"""),"Imagine practicing and still being offside from a corner 🙄 #TURITA. Berardi is so talented that he can create offside from corner.. #ITATUR. Since when has it been possible to be offside from a corner? #ITATUR. You can’t be offside from a corner! euro 20"&amp;"20 #ITA.")</f>
        <v>Imagine practicing and still being offside from a corner 🙄 #TURITA. Berardi is so talented that he can create offside from corner.. #ITATUR. Since when has it been possible to be offside from a corner? #ITATUR. You can’t be offside from a corner! euro 2020 #ITA.</v>
      </c>
      <c r="P12" s="39" t="s">
        <v>18</v>
      </c>
      <c r="Q12" s="40">
        <f>IFERROR(__xludf.DUMMYFUNCTION("""COMPUTED_VALUE"""),44358.807754629626)</f>
        <v>44358.80775</v>
      </c>
      <c r="R12" s="5" t="str">
        <f>IFERROR(__xludf.DUMMYFUNCTION("""COMPUTED_VALUE"""),"So close by chiellini swear that was gonna score. Jermaine Jenas. “Chiellini left wide open again”. Yes that probably why he was offside 🤷‍♂️🤷‍♂️🤷‍♂️. Chiellini was offside anyways, but a wonderful save by Çakir. Yilmaz is offside all the bloody time.")</f>
        <v>So close by chiellini swear that was gonna score. Jermaine Jenas. “Chiellini left wide open again”. Yes that probably why he was offside 🤷‍♂️🤷‍♂️🤷‍♂️. Chiellini was offside anyways, but a wonderful save by Çakir. Yilmaz is offside all the bloody time.</v>
      </c>
      <c r="S12" s="39" t="s">
        <v>18</v>
      </c>
      <c r="T12" s="40">
        <f>IFERROR(__xludf.DUMMYFUNCTION("""COMPUTED_VALUE"""),44358.84065972222)</f>
        <v>44358.84066</v>
      </c>
      <c r="U12" s="5" t="str">
        <f>IFERROR(__xludf.DUMMYFUNCTION("""COMPUTED_VALUE"""),"Ffs demiral’s been their best player too. Spurs linked to Demiral… he then scores an og. Been hit with the Spurs curse. We were linked with this Demiral guy in January?Dont Virgil my Van Dijk😭. Weren't we linked with demiral?😭😭. Italia Turchia Gooooooo"&amp;"lll Demiral top.")</f>
        <v>Ffs demiral’s been their best player too. Spurs linked to Demiral… he then scores an og. Been hit with the Spurs curse. We were linked with this Demiral guy in January?Dont Virgil my Van Dijk😭. Weren't we linked with demiral?😭😭. Italia Turchia Gooooooolll Demiral top.</v>
      </c>
      <c r="V12" s="39" t="s">
        <v>17</v>
      </c>
      <c r="Y12" s="5"/>
      <c r="Z12" s="40">
        <f>IFERROR(__xludf.DUMMYFUNCTION("""COMPUTED_VALUE"""),44358.818032407406)</f>
        <v>44358.81803</v>
      </c>
      <c r="AA12" s="5" t="str">
        <f>IFERROR(__xludf.DUMMYFUNCTION("""COMPUTED_VALUE"""),"Donnarumma’s awareness as a keeper is top notch. #TURITA. Insigne with a good attempt, turkish gk with a classic donnarumma save, right into his hands. Has a number one international goalkeeper ever started an international tournament without a club? #Don"&amp;"narumma.")</f>
        <v>Donnarumma’s awareness as a keeper is top notch. #TURITA. Insigne with a good attempt, turkish gk with a classic donnarumma save, right into his hands. Has a number one international goalkeeper ever started an international tournament without a club? #Donnarumma.</v>
      </c>
      <c r="AB12" s="39" t="s">
        <v>18</v>
      </c>
      <c r="AC12" s="40">
        <f>IFERROR(__xludf.DUMMYFUNCTION("""COMPUTED_VALUE"""),44358.82246527778)</f>
        <v>44358.82247</v>
      </c>
      <c r="AD12" s="5" t="str">
        <f>IFERROR(__xludf.DUMMYFUNCTION("""COMPUTED_VALUE"""),"Anti football from them and then a Grealish style dive 😂😂😂 #TURITA. Dirty dive from yilmaz what is he thinking 😂. Burak that was a great dive. Don't do it again. #TUR. So the shit ref not gonna book him for diving then?? #TURITA.")</f>
        <v>Anti football from them and then a Grealish style dive 😂😂😂 #TURITA. Dirty dive from yilmaz what is he thinking 😂. Burak that was a great dive. Don't do it again. #TUR. So the shit ref not gonna book him for diving then?? #TURITA.</v>
      </c>
      <c r="AE12" s="39" t="s">
        <v>18</v>
      </c>
      <c r="AF12" s="40">
        <f>IFERROR(__xludf.DUMMYFUNCTION("""COMPUTED_VALUE"""),44358.834131944444)</f>
        <v>44358.83413</v>
      </c>
      <c r="AG12" s="5" t="str">
        <f>IFERROR(__xludf.DUMMYFUNCTION("""COMPUTED_VALUE"""),"I need Chiesa to come on. Insigne desperately needs a Pen lol😭😭😂😂. Italy need to bring Belotti on. Immobile just doesn't offer enough up front when playing for Italy. No need for 3 CMs here. Take locatelli off put an attacker on. Turkey have no intere"&amp;"st in scoring here.")</f>
        <v>I need Chiesa to come on. Insigne desperately needs a Pen lol😭😭😂😂. Italy need to bring Belotti on. Immobile just doesn't offer enough up front when playing for Italy. No need for 3 CMs here. Take locatelli off put an attacker on. Turkey have no interest in scoring here.</v>
      </c>
      <c r="AH12" s="39" t="s">
        <v>16</v>
      </c>
      <c r="AI12" s="40">
        <f>IFERROR(__xludf.DUMMYFUNCTION("""COMPUTED_VALUE"""),44358.85035879629)</f>
        <v>44358.85036</v>
      </c>
      <c r="AJ12" s="5" t="str">
        <f>IFERROR(__xludf.DUMMYFUNCTION("""COMPUTED_VALUE"""),"Immobile is class. Very very surprised that Immobile isn’t one of the strikers that we are looking at. He grantees you goals no matter what. Immobile. My strikerrrrrrrrre🔥🔥. People say #ITA don’t have a proper striker. Immobile is good enough to help th"&amp;"em go very far.")</f>
        <v>Immobile is class. Very very surprised that Immobile isn’t one of the strikers that we are looking at. He grantees you goals no matter what. Immobile. My strikerrrrrrrrre🔥🔥. People say #ITA don’t have a proper striker. Immobile is good enough to help them go very far.</v>
      </c>
      <c r="AK12" s="39" t="s">
        <v>16</v>
      </c>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NOT(ISERROR($E6:DF6))))"),28.0)</f>
        <v>28</v>
      </c>
      <c r="D13" s="26">
        <f t="shared" si="63"/>
        <v>0.2745098039</v>
      </c>
      <c r="E13" s="40">
        <f>IFERROR(__xludf.DUMMYFUNCTION("""COMPUTED_VALUE"""),44358.82221064815)</f>
        <v>44358.82221</v>
      </c>
      <c r="F13" s="5" t="str">
        <f>IFERROR(__xludf.DUMMYFUNCTION("""COMPUTED_VALUE"""),"10 #TUR players inside the box at one point. Impossible. Chiellini looks like a dad charging onto the field to take charge in a U-11 kids’ match. Chiellini takes football so serious and personal. I like it. The Italians are a passionate lot. Chiellini is "&amp;"still a player 👏🏻.")</f>
        <v>10 #TUR players inside the box at one point. Impossible. Chiellini looks like a dad charging onto the field to take charge in a U-11 kids’ match. Chiellini takes football so serious and personal. I like it. The Italians are a passionate lot. Chiellini is still a player 👏🏻.</v>
      </c>
      <c r="G13" s="39" t="s">
        <v>18</v>
      </c>
      <c r="H13" s="40">
        <f>IFERROR(__xludf.DUMMYFUNCTION("""COMPUTED_VALUE"""),44358.793587962966)</f>
        <v>44358.79359</v>
      </c>
      <c r="I13" s="5" t="str">
        <f>IFERROR(__xludf.DUMMYFUNCTION("""COMPUTED_VALUE"""),"Mancini in that suit. Call it off - that combo should win the euros.. EURO 2020 #Mancini. So out of touch with international football didn’t even know Mancini was Italy manager. Mancini wins best dressed already for EURO 2020.")</f>
        <v>Mancini in that suit. Call it off - that combo should win the euros.. EURO 2020 #Mancini. So out of touch with international football didn’t even know Mancini was Italy manager. Mancini wins best dressed already for EURO 2020.</v>
      </c>
      <c r="J13" s="39" t="s">
        <v>16</v>
      </c>
      <c r="K13" s="40">
        <f>IFERROR(__xludf.DUMMYFUNCTION("""COMPUTED_VALUE"""),44358.81721064815)</f>
        <v>44358.81721</v>
      </c>
      <c r="L13" s="5" t="str">
        <f>IFERROR(__xludf.DUMMYFUNCTION("""COMPUTED_VALUE"""),"Turkey's strategy should be just pass it to Yilmaz 😭. Berardi gotta stop with these flipping chip passes. Why are Italy trying to pass it in? Give it immobile to thundercunt it top bins 🔥. PASS TO BARELLA. Pass the ball to Barella pls.")</f>
        <v>Turkey's strategy should be just pass it to Yilmaz 😭. Berardi gotta stop with these flipping chip passes. Why are Italy trying to pass it in? Give it immobile to thundercunt it top bins 🔥. PASS TO BARELLA. Pass the ball to Barella pls.</v>
      </c>
      <c r="M13" s="39" t="s">
        <v>18</v>
      </c>
      <c r="N13" s="40">
        <f>IFERROR(__xludf.DUMMYFUNCTION("""COMPUTED_VALUE"""),44358.84152777778)</f>
        <v>44358.84153</v>
      </c>
      <c r="O13" s="5" t="str">
        <f>IFERROR(__xludf.DUMMYFUNCTION("""COMPUTED_VALUE"""),"GOAAAL! 1-0 ITALY! Merih Demiral puts it into his own net. Euro 2020. OOF.. 0-1 to #ITA as Demiral chests a Berardi cross into his own net.. Goal was surely coming.. #TURITA. Berardi should really have shot there on his own.")</f>
        <v>GOAAAL! 1-0 ITALY! Merih Demiral puts it into his own net. Euro 2020. OOF.. 0-1 to #ITA as Demiral chests a Berardi cross into his own net.. Goal was surely coming.. #TURITA. Berardi should really have shot there on his own.</v>
      </c>
      <c r="P13" s="39" t="s">
        <v>17</v>
      </c>
      <c r="Q13" s="40">
        <f>IFERROR(__xludf.DUMMYFUNCTION("""COMPUTED_VALUE"""),44358.81472222222)</f>
        <v>44358.81472</v>
      </c>
      <c r="R13" s="5" t="str">
        <f>IFERROR(__xludf.DUMMYFUNCTION("""COMPUTED_VALUE"""),"Why isnt the Italian striker scoring goals? Because he is Immobile. Immobile is 100% scoring today. Immobile getting closer, goals defo coming soon. So close to a Berardi assist. Immobile just robbed me of a berardi assist. Immobile wasting a Berardi assi"&amp;"st, thanks a lot.")</f>
        <v>Why isnt the Italian striker scoring goals? Because he is Immobile. Immobile is 100% scoring today. Immobile getting closer, goals defo coming soon. So close to a Berardi assist. Immobile just robbed me of a berardi assist. Immobile wasting a Berardi assist, thanks a lot.</v>
      </c>
      <c r="S13" s="39" t="s">
        <v>18</v>
      </c>
      <c r="T13" s="40">
        <f>IFERROR(__xludf.DUMMYFUNCTION("""COMPUTED_VALUE"""),44358.84979166667)</f>
        <v>44358.84979</v>
      </c>
      <c r="U13" s="5" t="str">
        <f>IFERROR(__xludf.DUMMYFUNCTION("""COMPUTED_VALUE"""),"Gol de #ITA ⚽️⚽️. Gol de #Ita 2-0. Gol T-Mobile #TURITA #strefaeuro. GOOOL #ITA Insigne ⚽️. ¡Gooool de #ITA! Goool de Italia 2-0 #ITA. Gooool de Italia 🇮🇹. #TUR 0-2 #ITA. Gol de #ITA. Immobile fede a gol. Gollllllllll immobile. GOOOL. #TUR 0 x 2 #ITA. G"&amp;"ooooollll de #ITA.")</f>
        <v>Gol de #ITA ⚽️⚽️. Gol de #Ita 2-0. Gol T-Mobile #TURITA #strefaeuro. GOOOL #ITA Insigne ⚽️. ¡Gooool de #ITA! Goool de Italia 2-0 #ITA. Gooool de Italia 🇮🇹. #TUR 0-2 #ITA. Gol de #ITA. Immobile fede a gol. Gollllllllll immobile. GOOOL. #TUR 0 x 2 #ITA. Gooooollll de #ITA.</v>
      </c>
      <c r="V13" s="39" t="s">
        <v>17</v>
      </c>
      <c r="Y13" s="5"/>
      <c r="Z13" s="40">
        <f>IFERROR(__xludf.DUMMYFUNCTION("""COMPUTED_VALUE"""),44358.82240740741)</f>
        <v>44358.82241</v>
      </c>
      <c r="AA13" s="5" t="str">
        <f>IFERROR(__xludf.DUMMYFUNCTION("""COMPUTED_VALUE"""),"Jorginho best player on the pitch so far. Turkey defending, Italy passing hoping to find some space, Immobile finally does but it's fairly easy for Çakir. 0-0 (44) #TURITA another good Turkish save. Turkey has such a great goal keeper 😲. #TURITA. Cakir s"&amp;"aves Immobile's quick shot.")</f>
        <v>Jorginho best player on the pitch so far. Turkey defending, Italy passing hoping to find some space, Immobile finally does but it's fairly easy for Çakir. 0-0 (44) #TURITA another good Turkish save. Turkey has such a great goal keeper 😲. #TURITA. Cakir saves Immobile's quick shot.</v>
      </c>
      <c r="AB13" s="39" t="s">
        <v>18</v>
      </c>
      <c r="AC13" s="40">
        <f>IFERROR(__xludf.DUMMYFUNCTION("""COMPUTED_VALUE"""),44358.82372685186)</f>
        <v>44358.82373</v>
      </c>
      <c r="AD13" s="5" t="str">
        <f>IFERROR(__xludf.DUMMYFUNCTION("""COMPUTED_VALUE"""),"That’s twice #ita got fucked out of a penalty kick. euro 2020. Literally how many penalties is this ref gonna let slide, so far 1 clear foul and 1 clear handball! Forca Italia! #ITA. Wtf is this ref 💀💀 celik was playing basketball in the box.")</f>
        <v>That’s twice #ita got fucked out of a penalty kick. euro 2020. Literally how many penalties is this ref gonna let slide, so far 1 clear foul and 1 clear handball! Forca Italia! #ITA. Wtf is this ref 💀💀 celik was playing basketball in the box.</v>
      </c>
      <c r="AE13" s="39" t="s">
        <v>16</v>
      </c>
      <c r="AF13" s="40">
        <f>IFERROR(__xludf.DUMMYFUNCTION("""COMPUTED_VALUE"""),44358.83545138889)</f>
        <v>44358.83545</v>
      </c>
      <c r="AG13" s="5" t="str">
        <f>IFERROR(__xludf.DUMMYFUNCTION("""COMPUTED_VALUE"""),"They subbed off Yazici??? yeah they aren't scoring now lol. Fuck fuck fuck yusuf yazici subbed off fuck go fuck yourself Turkey. 99 pace under is coming on. Good sub.#ITATUR. Why is Di Lorenzo subbed in. WHY DID HE SUB OUT FLORENZI. Cengiz Under good sub "&amp;"from Turkey.")</f>
        <v>They subbed off Yazici??? yeah they aren't scoring now lol. Fuck fuck fuck yusuf yazici subbed off fuck go fuck yourself Turkey. 99 pace under is coming on. Good sub.#ITATUR. Why is Di Lorenzo subbed in. WHY DID HE SUB OUT FLORENZI. Cengiz Under good sub from Turkey.</v>
      </c>
      <c r="AH13" s="39" t="s">
        <v>17</v>
      </c>
      <c r="AI13" s="40">
        <f>IFERROR(__xludf.DUMMYFUNCTION("""COMPUTED_VALUE"""),44358.8569675926)</f>
        <v>44358.85697</v>
      </c>
      <c r="AJ13" s="5" t="str">
        <f>IFERROR(__xludf.DUMMYFUNCTION("""COMPUTED_VALUE"""),"Oh Jorginho have mercy, sheer class. Jorginho looking like a world beater tonight… weird. Jorginho has been class tonight. Jorginho is genuinely one of the best midfielders in world football what a joy to watch man. Jorginho is world class suck my dick if"&amp;" you disagree Idc.")</f>
        <v>Oh Jorginho have mercy, sheer class. Jorginho looking like a world beater tonight… weird. Jorginho has been class tonight. Jorginho is genuinely one of the best midfielders in world football what a joy to watch man. Jorginho is world class suck my dick if you disagree Idc.</v>
      </c>
      <c r="AK13" s="39" t="s">
        <v>16</v>
      </c>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NOT(ISERROR($E7:DF7))))"),38.0)</f>
        <v>38</v>
      </c>
      <c r="D14" s="26">
        <f t="shared" si="63"/>
        <v>0.3725490196</v>
      </c>
      <c r="E14" s="40">
        <f>IFERROR(__xludf.DUMMYFUNCTION("""COMPUTED_VALUE"""),44358.82354166667)</f>
        <v>44358.82354</v>
      </c>
      <c r="F14" s="5" t="str">
        <f>IFERROR(__xludf.DUMMYFUNCTION("""COMPUTED_VALUE"""),"What a player Spinazzola is. Jorginho what a player. Immobile hadda take this no Jorginho bs. Jorginho is the best player on the pitch. Spinazzola best player on the pitch by far. Jorginho doing the work of 2 players blud he's insane. Jorginho best player"&amp;" on the field yet again.")</f>
        <v>What a player Spinazzola is. Jorginho what a player. Immobile hadda take this no Jorginho bs. Jorginho is the best player on the pitch. Spinazzola best player on the pitch by far. Jorginho doing the work of 2 players blud he's insane. Jorginho best player on the field yet again.</v>
      </c>
      <c r="G14" s="39" t="s">
        <v>16</v>
      </c>
      <c r="H14" s="40">
        <f>IFERROR(__xludf.DUMMYFUNCTION("""COMPUTED_VALUE"""),44358.80037037037)</f>
        <v>44358.80037</v>
      </c>
      <c r="I14" s="5" t="str">
        <f>IFERROR(__xludf.DUMMYFUNCTION("""COMPUTED_VALUE"""),"It was fucking nice of Insigne to let his Uber carry the football to the centre circle😂.")</f>
        <v>It was fucking nice of Insigne to let his Uber carry the football to the centre circle😂.</v>
      </c>
      <c r="J14" s="39" t="s">
        <v>15</v>
      </c>
      <c r="K14" s="40">
        <f>IFERROR(__xludf.DUMMYFUNCTION("""COMPUTED_VALUE"""),44358.82318287037)</f>
        <v>44358.82318</v>
      </c>
      <c r="L14" s="5" t="str">
        <f>IFERROR(__xludf.DUMMYFUNCTION("""COMPUTED_VALUE"""),"What a pass Jorginho. I don’t wanna pick on him but Jorginho needs to be braver with his passes. What a ball by Jorginho! Moer that pass by Jorginho. Thats the most typical Jorginho pass and I love it. Jorginho has been class this first half. His passing "&amp;"technique.")</f>
        <v>What a pass Jorginho. I don’t wanna pick on him but Jorginho needs to be braver with his passes. What a ball by Jorginho! Moer that pass by Jorginho. Thats the most typical Jorginho pass and I love it. Jorginho has been class this first half. His passing technique.</v>
      </c>
      <c r="M14" s="39" t="s">
        <v>18</v>
      </c>
      <c r="N14" s="40">
        <f>IFERROR(__xludf.DUMMYFUNCTION("""COMPUTED_VALUE"""),44358.84305555555)</f>
        <v>44358.84306</v>
      </c>
      <c r="O14" s="5" t="str">
        <f>IFERROR(__xludf.DUMMYFUNCTION("""COMPUTED_VALUE"""),"Demiral finds himself in a difficult situation as Berradi's shot is deflected off him into Goal. ITALY takes the lead ! #ITA #TUR. Insigne cuts in and tries to curl one, this time it takes a deflection over. 0-1 (57) Berardi's cross deflects in—Italy stri"&amp;"ke first at EURO 2020.")</f>
        <v>Demiral finds himself in a difficult situation as Berradi's shot is deflected off him into Goal. ITALY takes the lead ! #ITA #TUR. Insigne cuts in and tries to curl one, this time it takes a deflection over. 0-1 (57) Berardi's cross deflects in—Italy strike first at EURO 2020.</v>
      </c>
      <c r="P14" s="39" t="s">
        <v>18</v>
      </c>
      <c r="Q14" s="40">
        <f>IFERROR(__xludf.DUMMYFUNCTION("""COMPUTED_VALUE"""),44358.81799768518)</f>
        <v>44358.818</v>
      </c>
      <c r="R14" s="5" t="str">
        <f>IFERROR(__xludf.DUMMYFUNCTION("""COMPUTED_VALUE"""),"Insigne just score please I beg. C'mon insigne you should be scoring that. Idk man gut says Insigne is scoring. Insigne has come short of scoring the first goal. Insigne soon get the goal man.")</f>
        <v>Insigne just score please I beg. C'mon insigne you should be scoring that. Idk man gut says Insigne is scoring. Insigne has come short of scoring the first goal. Insigne soon get the goal man.</v>
      </c>
      <c r="S14" s="39" t="s">
        <v>16</v>
      </c>
      <c r="T14" s="40">
        <f>IFERROR(__xludf.DUMMYFUNCTION("""COMPUTED_VALUE"""),44358.85880787037)</f>
        <v>44358.85881</v>
      </c>
      <c r="U14" s="5" t="str">
        <f>IFERROR(__xludf.DUMMYFUNCTION("""COMPUTED_VALUE"""),"Um gol ""alla Insigne"". Merecia. Goooooooooooooooooooooooooooooooooooooooooooooool de #Insigne. Gol de #Ita 3-0. Goooooool chaparrito Insigne. Gol de Italia Insigne 0-3 Eurocopa 2020. GOOOOOOOOOOOOOOL!!!!!!!!!!!!!!! 🇮🇹. Italshow. Ita Tur. Goooool de It"&amp;"alia 🇮🇹. #TUR 0-3 #ITA.")</f>
        <v>Um gol "alla Insigne". Merecia. Goooooooooooooooooooooooooooooooooooooooooooooool de #Insigne. Gol de #Ita 3-0. Goooooool chaparrito Insigne. Gol de Italia Insigne 0-3 Eurocopa 2020. GOOOOOOOOOOOOOOL!!!!!!!!!!!!!!! 🇮🇹. Italshow. Ita Tur. Goooool de Italia 🇮🇹. #TUR 0-3 #ITA.</v>
      </c>
      <c r="V14" s="39" t="s">
        <v>17</v>
      </c>
      <c r="Y14" s="5"/>
      <c r="Z14" s="40">
        <f>IFERROR(__xludf.DUMMYFUNCTION("""COMPUTED_VALUE"""),44358.82450231482)</f>
        <v>44358.8245</v>
      </c>
      <c r="AA14" s="5" t="str">
        <f>IFERROR(__xludf.DUMMYFUNCTION("""COMPUTED_VALUE"""),"Jorginho’s broken up play like 6 times in transition this is bread and butter for him. Best player on the pitch. Jorginho is italy's best. locatelli and berardi are the worst. j5 wud finally get the respect he deserves. Jorginho been the best player on th"&amp;"e pitch.")</f>
        <v>Jorginho’s broken up play like 6 times in transition this is bread and butter for him. Best player on the pitch. Jorginho is italy's best. locatelli and berardi are the worst. j5 wud finally get the respect he deserves. Jorginho been the best player on the pitch.</v>
      </c>
      <c r="AB14" s="39" t="s">
        <v>18</v>
      </c>
      <c r="AE14" s="5"/>
      <c r="AF14" s="40">
        <f>IFERROR(__xludf.DUMMYFUNCTION("""COMPUTED_VALUE"""),44358.840740740736)</f>
        <v>44358.84074</v>
      </c>
      <c r="AG14" s="5" t="str">
        <f>IFERROR(__xludf.DUMMYFUNCTION("""COMPUTED_VALUE"""),"First goal is an own goal. #ITA lead. Italy take the lead via an own goal. 1-0 #ITA #TUR. GOAAAAAAL! WE HAVE OUR FIRST OF EURO 2020. Italy lead through an Own Goal from Demiral! Own Goal leading the golden boot #TURITA EURO 2020. I needed that goal from I"&amp;"mmobile.")</f>
        <v>First goal is an own goal. #ITA lead. Italy take the lead via an own goal. 1-0 #ITA #TUR. GOAAAAAAL! WE HAVE OUR FIRST OF EURO 2020. Italy lead through an Own Goal from Demiral! Own Goal leading the golden boot #TURITA EURO 2020. I needed that goal from Immobile.</v>
      </c>
      <c r="AH14" s="39" t="s">
        <v>17</v>
      </c>
      <c r="AI14" s="40">
        <f>IFERROR(__xludf.DUMMYFUNCTION("""COMPUTED_VALUE"""),44358.86864583333)</f>
        <v>44358.86865</v>
      </c>
      <c r="AJ14" s="5" t="str">
        <f>IFERROR(__xludf.DUMMYFUNCTION("""COMPUTED_VALUE"""),"WHAT A TACKLE BY CHIELLINI BEST DEFENDER IN THE WORLD. Chiellini is class. Chiellini is still going crazy, pure class. Chiellini is absolutely world class. What a player. Shows age does not matter. Chiellini class. Proper centre half even though he's anci"&amp;"ent.")</f>
        <v>WHAT A TACKLE BY CHIELLINI BEST DEFENDER IN THE WORLD. Chiellini is class. Chiellini is still going crazy, pure class. Chiellini is absolutely world class. What a player. Shows age does not matter. Chiellini class. Proper centre half even though he's ancient.</v>
      </c>
      <c r="AK14" s="39" t="s">
        <v>16</v>
      </c>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102</v>
      </c>
      <c r="D15" s="26">
        <f t="shared" si="64"/>
        <v>1</v>
      </c>
      <c r="E15" s="40">
        <f>IFERROR(__xludf.DUMMYFUNCTION("""COMPUTED_VALUE"""),44358.82508101852)</f>
        <v>44358.82508</v>
      </c>
      <c r="F15" s="5" t="str">
        <f>IFERROR(__xludf.DUMMYFUNCTION("""COMPUTED_VALUE"""),"#ITA 👏 TAKE 👏 YOUR 👏BLOODY 👏 CHANCES 👏. Take Manuel off and bring on Pessina Italy ⭐️⭐️⭐️⭐️. If I was #ITA I would simply take the lead of this game already. Mourinho go take Spinazzola worry waaaaa. Take off Donnarumma and replace him with Belotti. "&amp;"Italy don't need a GK.")</f>
        <v>#ITA 👏 TAKE 👏 YOUR 👏BLOODY 👏 CHANCES 👏. Take Manuel off and bring on Pessina Italy ⭐️⭐️⭐️⭐️. If I was #ITA I would simply take the lead of this game already. Mourinho go take Spinazzola worry waaaaa. Take off Donnarumma and replace him with Belotti. Italy don't need a GK.</v>
      </c>
      <c r="G15" s="39" t="s">
        <v>16</v>
      </c>
      <c r="H15" s="40">
        <f>IFERROR(__xludf.DUMMYFUNCTION("""COMPUTED_VALUE"""),44358.82278935185)</f>
        <v>44358.82279</v>
      </c>
      <c r="I15" s="5" t="str">
        <f>IFERROR(__xludf.DUMMYFUNCTION("""COMPUTED_VALUE"""),"It feels like Chiellini has played most of the half in the Turkish final 3rd. Spinazzola isn't a real footballer man, he's one of them part-time plumbers from San Marino. Ok Jon Champion is COMEDY right now EURO 2020 #ITATUR. I could watch Jorginho play f"&amp;"ootball all day 🔥🔥.")</f>
        <v>It feels like Chiellini has played most of the half in the Turkish final 3rd. Spinazzola isn't a real footballer man, he's one of them part-time plumbers from San Marino. Ok Jon Champion is COMEDY right now EURO 2020 #ITATUR. I could watch Jorginho play football all day 🔥🔥.</v>
      </c>
      <c r="J15" s="39" t="s">
        <v>18</v>
      </c>
      <c r="K15" s="40">
        <f>IFERROR(__xludf.DUMMYFUNCTION("""COMPUTED_VALUE"""),44358.84081018518)</f>
        <v>44358.84081</v>
      </c>
      <c r="L15" s="5" t="str">
        <f>IFERROR(__xludf.DUMMYFUNCTION("""COMPUTED_VALUE"""),"What a ball from locatelli to Barella👏👏👏. That goal was all locatelli btw. Incredible splitting pass. What a pass Locatelli to start the move 👏🏻 EUROS 2020. The first goal of UEFA EURO 2020 goes the way of #ITA as Demiral puts Berardi's cross through"&amp;" his own net! Euro 2020.")</f>
        <v>What a ball from locatelli to Barella👏👏👏. That goal was all locatelli btw. Incredible splitting pass. What a pass Locatelli to start the move 👏🏻 EUROS 2020. The first goal of UEFA EURO 2020 goes the way of #ITA as Demiral puts Berardi's cross through his own net! Euro 2020.</v>
      </c>
      <c r="M15" s="39" t="s">
        <v>17</v>
      </c>
      <c r="N15" s="40">
        <f>IFERROR(__xludf.DUMMYFUNCTION("""COMPUTED_VALUE"""),44358.844293981485)</f>
        <v>44358.84429</v>
      </c>
      <c r="O15" s="5" t="str">
        <f>IFERROR(__xludf.DUMMYFUNCTION("""COMPUTED_VALUE"""),"Insigne shot. Absolute scenes here when turkey equalise with their first shot #TURITA euro 2020. Locatelli just had a shot…. surely that just shows turkey are not dark horses. Chiellini shot. 14 shots later, #ITA finally open the scoring in EURO 2020..")</f>
        <v>Insigne shot. Absolute scenes here when turkey equalise with their first shot #TURITA euro 2020. Locatelli just had a shot…. surely that just shows turkey are not dark horses. Chiellini shot. 14 shots later, #ITA finally open the scoring in EURO 2020..</v>
      </c>
      <c r="P15" s="39" t="s">
        <v>18</v>
      </c>
      <c r="Q15" s="40">
        <f>IFERROR(__xludf.DUMMYFUNCTION("""COMPUTED_VALUE"""),44358.82361111111)</f>
        <v>44358.82361</v>
      </c>
      <c r="R15" s="5" t="str">
        <f>IFERROR(__xludf.DUMMYFUNCTION("""COMPUTED_VALUE"""),"Jorginho getting robbed of assists even in the national team. Good half lads! You can’t lose if you don’t concede 😅😆 #TUR. Slow start but great end to the first half. Hopefully some goals in the 2nd half 🙏🙏 #TURITA. A goal from Insigne or Immobile sec"&amp;"ond half. EURO 2020.")</f>
        <v>Jorginho getting robbed of assists even in the national team. Good half lads! You can’t lose if you don’t concede 😅😆 #TUR. Slow start but great end to the first half. Hopefully some goals in the 2nd half 🙏🙏 #TURITA. A goal from Insigne or Immobile second half. EURO 2020.</v>
      </c>
      <c r="S15" s="39" t="s">
        <v>17</v>
      </c>
      <c r="V15" s="5"/>
      <c r="Y15" s="5"/>
      <c r="Z15" s="40">
        <f>IFERROR(__xludf.DUMMYFUNCTION("""COMPUTED_VALUE"""),44358.82628472222)</f>
        <v>44358.82628</v>
      </c>
      <c r="AA15" s="5" t="str">
        <f>IFERROR(__xludf.DUMMYFUNCTION("""COMPUTED_VALUE"""),"All the pre-match talk about Locatelli and Barella in Italy’s midfield just for Jorginho to be the best player on the park.")</f>
        <v>All the pre-match talk about Locatelli and Barella in Italy’s midfield just for Jorginho to be the best player on the park.</v>
      </c>
      <c r="AB15" s="39" t="s">
        <v>16</v>
      </c>
      <c r="AE15" s="5"/>
      <c r="AF15" s="40">
        <f>IFERROR(__xludf.DUMMYFUNCTION("""COMPUTED_VALUE"""),44358.84202546296)</f>
        <v>44358.84203</v>
      </c>
      <c r="AG15" s="5" t="str">
        <f>IFERROR(__xludf.DUMMYFUNCTION("""COMPUTED_VALUE"""),"Finally the deadline is broken through an OG. #ITA take a well deserved lead. Euro 2020. Goal!!!! 🇮🇹 1 - 0 🇹🇷. A Merih Demiral own goal gives Italy a deserved lead. EURO 2020 #TURITA. Italy deserve that, Turkey need to come out and start playing now e"&amp;"uro 2020 #ITATUR.")</f>
        <v>Finally the deadline is broken through an OG. #ITA take a well deserved lead. Euro 2020. Goal!!!! 🇮🇹 1 - 0 🇹🇷. A Merih Demiral own goal gives Italy a deserved lead. EURO 2020 #TURITA. Italy deserve that, Turkey need to come out and start playing now euro 2020 #ITATUR.</v>
      </c>
      <c r="AH15" s="39" t="s">
        <v>14</v>
      </c>
      <c r="AK15" s="5"/>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NOT(ISERROR($E8:DF8))))"),0.7043485517750225)</f>
        <v>0.7043485518</v>
      </c>
      <c r="E16" s="40">
        <f>IFERROR(__xludf.DUMMYFUNCTION("""COMPUTED_VALUE"""),44358.8265625)</f>
        <v>44358.82656</v>
      </c>
      <c r="F16" s="5" t="str">
        <f>IFERROR(__xludf.DUMMYFUNCTION("""COMPUTED_VALUE"""),"Cesc Fabregas says Jorginho is a good player and part of the reason why he left Chelsea but he’s unsure how he’ll do without N’Golo Kante 👀. All the pre-match talk about Locatelli and Barella in Italy’s midfield just for Jorginho to be the best player on"&amp;" the park.")</f>
        <v>Cesc Fabregas says Jorginho is a good player and part of the reason why he left Chelsea but he’s unsure how he’ll do without N’Golo Kante 👀. All the pre-match talk about Locatelli and Barella in Italy’s midfield just for Jorginho to be the best player on the park.</v>
      </c>
      <c r="G16" s="39" t="s">
        <v>16</v>
      </c>
      <c r="H16" s="40">
        <f>IFERROR(__xludf.DUMMYFUNCTION("""COMPUTED_VALUE"""),44358.82388888889)</f>
        <v>44358.82389</v>
      </c>
      <c r="I16" s="5" t="str">
        <f>IFERROR(__xludf.DUMMYFUNCTION("""COMPUTED_VALUE"""),"Italy is playing such an insane football right now #TURITA. #tur will be delighted. Decent half.. Got a #tur pen 1-0 win all over it 😂😂. Penalty check completed in about 2 seconds. Premier League, are you watching? That would've been given in the Premie"&amp;"r League. #ita #ITATUR.")</f>
        <v>Italy is playing such an insane football right now #TURITA. #tur will be delighted. Decent half.. Got a #tur pen 1-0 win all over it 😂😂. Penalty check completed in about 2 seconds. Premier League, are you watching? That would've been given in the Premier League. #ita #ITATUR.</v>
      </c>
      <c r="J16" s="39" t="s">
        <v>18</v>
      </c>
      <c r="K16" s="40">
        <f>IFERROR(__xludf.DUMMYFUNCTION("""COMPUTED_VALUE"""),44358.84284722222)</f>
        <v>44358.84285</v>
      </c>
      <c r="L16" s="5" t="str">
        <f>IFERROR(__xludf.DUMMYFUNCTION("""COMPUTED_VALUE"""),"Goal: Italy 1, Turkey 0. Demiral turned Locotelli’s cross into his own net. euro 2020. Corridor of uncertainty from Berardi, what a cross. Tagliatelle with a great cross for Rigatoni #ITATUR. Berardi's cross deflects in—Italy strike first at EURO 2020.")</f>
        <v>Goal: Italy 1, Turkey 0. Demiral turned Locotelli’s cross into his own net. euro 2020. Corridor of uncertainty from Berardi, what a cross. Tagliatelle with a great cross for Rigatoni #ITATUR. Berardi's cross deflects in—Italy strike first at EURO 2020.</v>
      </c>
      <c r="M16" s="39" t="s">
        <v>18</v>
      </c>
      <c r="N16" s="40">
        <f>IFERROR(__xludf.DUMMYFUNCTION("""COMPUTED_VALUE"""),44358.85939814815)</f>
        <v>44358.8594</v>
      </c>
      <c r="O16" s="5" t="str">
        <f>IFERROR(__xludf.DUMMYFUNCTION("""COMPUTED_VALUE"""),"Lovely audible net-ripple with that Insigne goal. euro 2020. With that finesse into the corner Insigne has just become the archetype Pro Clubs Winger. Insigne with an excellent finesse finish into the right corner of the net. 3-0 Italy. Insigne with the f"&amp;"inesse shot 🔥 0-3 Italy.")</f>
        <v>Lovely audible net-ripple with that Insigne goal. euro 2020. With that finesse into the corner Insigne has just become the archetype Pro Clubs Winger. Insigne with an excellent finesse finish into the right corner of the net. 3-0 Italy. Insigne with the finesse shot 🔥 0-3 Italy.</v>
      </c>
      <c r="P16" s="39" t="s">
        <v>17</v>
      </c>
      <c r="Q16" s="40">
        <f>IFERROR(__xludf.DUMMYFUNCTION("""COMPUTED_VALUE"""),44358.836851851855)</f>
        <v>44358.83685</v>
      </c>
      <c r="R16" s="5" t="str">
        <f>IFERROR(__xludf.DUMMYFUNCTION("""COMPUTED_VALUE"""),"Berardi absolute clown. How can you be offside there 😂. The ball didn’t go forward? So it’s not offside? #ITA euro 2020. Since when can you be offside from a corner! #ITATUR. The most stupid offside in football history #TURITA EUROS 2020.")</f>
        <v>Berardi absolute clown. How can you be offside there 😂. The ball didn’t go forward? So it’s not offside? #ITA euro 2020. Since when can you be offside from a corner! #ITATUR. The most stupid offside in football history #TURITA EUROS 2020.</v>
      </c>
      <c r="S16" s="39" t="s">
        <v>18</v>
      </c>
      <c r="V16" s="5"/>
      <c r="Y16" s="5"/>
      <c r="Z16" s="40">
        <f>IFERROR(__xludf.DUMMYFUNCTION("""COMPUTED_VALUE"""),44358.84112268519)</f>
        <v>44358.84112</v>
      </c>
      <c r="AA16" s="5" t="str">
        <f>IFERROR(__xludf.DUMMYFUNCTION("""COMPUTED_VALUE"""),"Lol what was that defender doing see how Berardi just went past him. Best thing Demiral has done for me 💪🏽. Juventus defender Demiral scores for Italy! But in Turkish colours | 0-1 #ITA. Demiral been clarse all game by why is he trying to defend that wi"&amp;"th his chest.")</f>
        <v>Lol what was that defender doing see how Berardi just went past him. Best thing Demiral has done for me 💪🏽. Juventus defender Demiral scores for Italy! But in Turkish colours | 0-1 #ITA. Demiral been clarse all game by why is he trying to defend that with his chest.</v>
      </c>
      <c r="AB16" s="39" t="s">
        <v>17</v>
      </c>
      <c r="AE16" s="5"/>
      <c r="AF16" s="40">
        <f>IFERROR(__xludf.DUMMYFUNCTION("""COMPUTED_VALUE"""),44358.84376157407)</f>
        <v>44358.84376</v>
      </c>
      <c r="AG16" s="5" t="str">
        <f>IFERROR(__xludf.DUMMYFUNCTION("""COMPUTED_VALUE"""),"Insigne i needed you to score that. Sub Insigne 🤷 EURO 2020. Come on Insigne I need points mf. Insigne's instinctive need of a cut-back is really bad. Need chiesa in for insigne #soon. Berardi i beg my team needs you. Insigne closeeee to a second goal fo"&amp;"r #ITA.")</f>
        <v>Insigne i needed you to score that. Sub Insigne 🤷 EURO 2020. Come on Insigne I need points mf. Insigne's instinctive need of a cut-back is really bad. Need chiesa in for insigne #soon. Berardi i beg my team needs you. Insigne closeeee to a second goal for #ITA.</v>
      </c>
      <c r="AH16" s="39" t="s">
        <v>16</v>
      </c>
      <c r="AK16" s="5"/>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0.6470588235</v>
      </c>
      <c r="E17" s="40">
        <f>IFERROR(__xludf.DUMMYFUNCTION("""COMPUTED_VALUE"""),44358.84069444444)</f>
        <v>44358.84069</v>
      </c>
      <c r="F17" s="5" t="str">
        <f>IFERROR(__xludf.DUMMYFUNCTION("""COMPUTED_VALUE"""),"Demiral what an awful player. Ffs demiral’s been their best player too. Unlucky Demiral, really like him as a player. GOALLLL ITALY TAKE THE LEAD ITS A DEMIRAL OWN GOAL.")</f>
        <v>Demiral what an awful player. Ffs demiral’s been their best player too. Unlucky Demiral, really like him as a player. GOALLLL ITALY TAKE THE LEAD ITS A DEMIRAL OWN GOAL.</v>
      </c>
      <c r="G17" s="39" t="s">
        <v>17</v>
      </c>
      <c r="H17" s="40">
        <f>IFERROR(__xludf.DUMMYFUNCTION("""COMPUTED_VALUE"""),44358.82625)</f>
        <v>44358.82625</v>
      </c>
      <c r="I17" s="5" t="str">
        <f>IFERROR(__xludf.DUMMYFUNCTION("""COMPUTED_VALUE"""),"Italy need to get Chiesa on down the right instead of Berardi and they'll win. Italy dominating the ball but they just can’t find that final pass #ITA #TUR. How does a guy named Spinazzola end up becoming a footballer instead of a DJ?😂. EURO 2020. L’#ITA"&amp;" Total Football. Euro 2020.")</f>
        <v>Italy need to get Chiesa on down the right instead of Berardi and they'll win. Italy dominating the ball but they just can’t find that final pass #ITA #TUR. How does a guy named Spinazzola end up becoming a footballer instead of a DJ?😂. EURO 2020. L’#ITA Total Football. Euro 2020.</v>
      </c>
      <c r="J17" s="39" t="s">
        <v>18</v>
      </c>
      <c r="K17" s="40">
        <f>IFERROR(__xludf.DUMMYFUNCTION("""COMPUTED_VALUE"""),44358.8455324074)</f>
        <v>44358.84553</v>
      </c>
      <c r="L17" s="5" t="str">
        <f>IFERROR(__xludf.DUMMYFUNCTION("""COMPUTED_VALUE"""),"That line breaking pass from Locatelli. ITALY DO YOU WANT TO PASS TO FUCKING IMMOBILE??? Berardi should have passed there. Locatelli’s pass to barella. led to the goal. Why didn’t he pass to Locatelli i need fantasy points 😭. Berardi selfish easy pass to"&amp;" locatelli that enuh.")</f>
        <v>That line breaking pass from Locatelli. ITALY DO YOU WANT TO PASS TO FUCKING IMMOBILE??? Berardi should have passed there. Locatelli’s pass to barella. led to the goal. Why didn’t he pass to Locatelli i need fantasy points 😭. Berardi selfish easy pass to locatelli that enuh.</v>
      </c>
      <c r="M17" s="39" t="s">
        <v>18</v>
      </c>
      <c r="N17" s="40">
        <f>IFERROR(__xludf.DUMMYFUNCTION("""COMPUTED_VALUE"""),44358.863483796296)</f>
        <v>44358.86348</v>
      </c>
      <c r="O17" s="5" t="str">
        <f>IFERROR(__xludf.DUMMYFUNCTION("""COMPUTED_VALUE"""),"Lorenzo Insigne curling the ball into the far corner first time. Clean 😎.")</f>
        <v>Lorenzo Insigne curling the ball into the far corner first time. Clean 😎.</v>
      </c>
      <c r="P17" s="39" t="s">
        <v>14</v>
      </c>
      <c r="Q17" s="40">
        <f>IFERROR(__xludf.DUMMYFUNCTION("""COMPUTED_VALUE"""),44358.84040509259)</f>
        <v>44358.84041</v>
      </c>
      <c r="R17" s="5" t="str">
        <f>IFERROR(__xludf.DUMMYFUNCTION("""COMPUTED_VALUE"""),"Kabak should have started ahead of this guy that scored the own goal. It’s an own goal but you see Immobile’s positioning. He could get quite a few goals this tournament. Goooooooooooal #Ita breaks through with a Turkish own goal‼️. Euro 2020.")</f>
        <v>Kabak should have started ahead of this guy that scored the own goal. It’s an own goal but you see Immobile’s positioning. He could get quite a few goals this tournament. Goooooooooooal #Ita breaks through with a Turkish own goal‼️. Euro 2020.</v>
      </c>
      <c r="S17" s="39" t="s">
        <v>17</v>
      </c>
      <c r="V17" s="5"/>
      <c r="Y17" s="5"/>
      <c r="Z17" s="40">
        <f>IFERROR(__xludf.DUMMYFUNCTION("""COMPUTED_VALUE"""),44358.843125)</f>
        <v>44358.84313</v>
      </c>
      <c r="AA17" s="5" t="str">
        <f>IFERROR(__xludf.DUMMYFUNCTION("""COMPUTED_VALUE"""),"What a GK is Gigi Donnarumma. No doubt he will be top 3 of best keepers in the current decade.. Spinazzola best player on the pitch behind Jorginho so far today. Not even the best berardi. Demiral got confused seeing his Juventus teammates on the pitch. H"&amp;"appens to the best.")</f>
        <v>What a GK is Gigi Donnarumma. No doubt he will be top 3 of best keepers in the current decade.. Spinazzola best player on the pitch behind Jorginho so far today. Not even the best berardi. Demiral got confused seeing his Juventus teammates on the pitch. Happens to the best.</v>
      </c>
      <c r="AB17" s="39" t="s">
        <v>16</v>
      </c>
      <c r="AE17" s="5"/>
      <c r="AF17" s="40">
        <f>IFERROR(__xludf.DUMMYFUNCTION("""COMPUTED_VALUE"""),44358.845659722225)</f>
        <v>44358.84566</v>
      </c>
      <c r="AG17" s="5" t="str">
        <f>IFERROR(__xludf.DUMMYFUNCTION("""COMPUTED_VALUE"""),"Nahhh, this game needs Chiesa. Insigne de do nonsense walai. Chiesa for Berardi is so needed. Chiesa needs to replace this berardi. Chiesa and cristante needed bad. Need Chiesa on. Time to sub Chiesa in. Bring on Chiesa please I need some fantasy points. "&amp;"Chiesa needed so bad.")</f>
        <v>Nahhh, this game needs Chiesa. Insigne de do nonsense walai. Chiesa for Berardi is so needed. Chiesa needs to replace this berardi. Chiesa and cristante needed bad. Need Chiesa on. Time to sub Chiesa in. Bring on Chiesa please I need some fantasy points. Chiesa needed so bad.</v>
      </c>
      <c r="AH17" s="39" t="s">
        <v>16</v>
      </c>
      <c r="AK17" s="5"/>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43" t="s">
        <v>545</v>
      </c>
      <c r="C18" s="33"/>
      <c r="D18" s="33"/>
      <c r="E18" s="40">
        <f>IFERROR(__xludf.DUMMYFUNCTION("""COMPUTED_VALUE"""),44358.84234953704)</f>
        <v>44358.84235</v>
      </c>
      <c r="F18" s="5" t="str">
        <f>IFERROR(__xludf.DUMMYFUNCTION("""COMPUTED_VALUE"""),"A Juventus player (Demiral) scores a goal, but it's not for his home country. It's an own goal and Italy lead. Italy 1-0 Turkey. 🔥🔥💪💪💙💙At least Juve players know what justice is... thanks Demiral... you are a real Juve player 🖤🤍.")</f>
        <v>A Juventus player (Demiral) scores a goal, but it's not for his home country. It's an own goal and Italy lead. Italy 1-0 Turkey. 🔥🔥💪💪💙💙At least Juve players know what justice is... thanks Demiral... you are a real Juve player 🖤🤍.</v>
      </c>
      <c r="G18" s="39" t="s">
        <v>14</v>
      </c>
      <c r="H18" s="40">
        <f>IFERROR(__xludf.DUMMYFUNCTION("""COMPUTED_VALUE"""),44358.84106481481)</f>
        <v>44358.84106</v>
      </c>
      <c r="I18" s="5" t="str">
        <f>IFERROR(__xludf.DUMMYFUNCTION("""COMPUTED_VALUE"""),"Was praising demiral 😭. finally a goal to set the deserved leaders up. An own goal from Merih Demiral opens the scoring finally. Demiral is in my fantasy football team 😭. #ITA have been knocking on the door all match and finally get a goal through a Dem"&amp;"iral own goal. EURO 2020.")</f>
        <v>Was praising demiral 😭. finally a goal to set the deserved leaders up. An own goal from Merih Demiral opens the scoring finally. Demiral is in my fantasy football team 😭. #ITA have been knocking on the door all match and finally get a goal through a Demiral own goal. EURO 2020.</v>
      </c>
      <c r="J18" s="39" t="s">
        <v>17</v>
      </c>
      <c r="K18" s="40">
        <f>IFERROR(__xludf.DUMMYFUNCTION("""COMPUTED_VALUE"""),44358.85078703704)</f>
        <v>44358.85079</v>
      </c>
      <c r="L18" s="5" t="str">
        <f>IFERROR(__xludf.DUMMYFUNCTION("""COMPUTED_VALUE"""),"All from Barella that little turn and quality pass foward in midfield. Warra pass from barella under pressure blud. That Barella pass. Just give the ball to Barella. Barella’s trivela pass to escape the press in the buildup to that goal was sexy af.")</f>
        <v>All from Barella that little turn and quality pass foward in midfield. Warra pass from barella under pressure blud. That Barella pass. Just give the ball to Barella. Barella’s trivela pass to escape the press in the buildup to that goal was sexy af.</v>
      </c>
      <c r="M18" s="39" t="s">
        <v>18</v>
      </c>
      <c r="P18" s="5"/>
      <c r="Q18" s="40">
        <f>IFERROR(__xludf.DUMMYFUNCTION("""COMPUTED_VALUE"""),44358.84511574074)</f>
        <v>44358.84512</v>
      </c>
      <c r="R18" s="5" t="str">
        <f>IFERROR(__xludf.DUMMYFUNCTION("""COMPUTED_VALUE"""),"🇮🇹 Italy make the breakthrough in the opener via a Merih Demiral own goal ⚽️. EURO 2020.")</f>
        <v>🇮🇹 Italy make the breakthrough in the opener via a Merih Demiral own goal ⚽️. EURO 2020.</v>
      </c>
      <c r="S18" s="39" t="s">
        <v>14</v>
      </c>
      <c r="V18" s="5"/>
      <c r="Y18" s="5"/>
      <c r="Z18" s="40">
        <f>IFERROR(__xludf.DUMMYFUNCTION("""COMPUTED_VALUE"""),44358.850486111114)</f>
        <v>44358.85049</v>
      </c>
      <c r="AA18" s="5" t="str">
        <f>IFERROR(__xludf.DUMMYFUNCTION("""COMPUTED_VALUE"""),"What a save! Spinazzola deserved that goal but we move! Amazing save from Cakir but Immobile tucks it home. Immobile doing what he does best. Score goals. 2-0 Italy vs turkey EURO 2020. The Turkish defenders didn’t move… it was almost as if they. #bestyou"&amp;"unfollowmenowtbh.")</f>
        <v>What a save! Spinazzola deserved that goal but we move! Amazing save from Cakir but Immobile tucks it home. Immobile doing what he does best. Score goals. 2-0 Italy vs turkey EURO 2020. The Turkish defenders didn’t move… it was almost as if they. #bestyouunfollowmenowtbh.</v>
      </c>
      <c r="AB18" s="39" t="s">
        <v>17</v>
      </c>
      <c r="AE18" s="5"/>
      <c r="AF18" s="40">
        <f>IFERROR(__xludf.DUMMYFUNCTION("""COMPUTED_VALUE"""),44358.84777777777)</f>
        <v>44358.84778</v>
      </c>
      <c r="AG18" s="5" t="str">
        <f>IFERROR(__xludf.DUMMYFUNCTION("""COMPUTED_VALUE"""),"Italy's next sub warming up #TURITA. The impact Di Lorenzo has had since half time is crazy????? Always providing an option!!! The energy and dynamism di lorenzo has brought on that right flank. Needed. Di lorenzo needs to start in the next game. Why is C"&amp;"hiesa not subbed in yet ?")</f>
        <v>Italy's next sub warming up #TURITA. The impact Di Lorenzo has had since half time is crazy????? Always providing an option!!! The energy and dynamism di lorenzo has brought on that right flank. Needed. Di lorenzo needs to start in the next game. Why is Chiesa not subbed in yet ?</v>
      </c>
      <c r="AH18" s="39" t="s">
        <v>18</v>
      </c>
      <c r="AK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E19" s="40">
        <f>IFERROR(__xludf.DUMMYFUNCTION("""COMPUTED_VALUE"""),44358.843831018516)</f>
        <v>44358.84383</v>
      </c>
      <c r="F19" s="5" t="str">
        <f>IFERROR(__xludf.DUMMYFUNCTION("""COMPUTED_VALUE"""),"Insigne trash player. Arsenal should look at Insigne. Amazing player. Insigne or Immobile are getting the next goal for Italy, they’ve been the best players on the pitch. What's with insigne and taking a shot every INSTANT?? Is there a player shorter than"&amp;" Insigne?😹.")</f>
        <v>Insigne trash player. Arsenal should look at Insigne. Amazing player. Insigne or Immobile are getting the next goal for Italy, they’ve been the best players on the pitch. What's with insigne and taking a shot every INSTANT?? Is there a player shorter than Insigne?😹.</v>
      </c>
      <c r="G19" s="39" t="s">
        <v>18</v>
      </c>
      <c r="H19" s="40">
        <f>IFERROR(__xludf.DUMMYFUNCTION("""COMPUTED_VALUE"""),44358.84550925926)</f>
        <v>44358.84551</v>
      </c>
      <c r="I19" s="5" t="str">
        <f>IFERROR(__xludf.DUMMYFUNCTION("""COMPUTED_VALUE"""),"Berardi does NOT know how to play football. Berardi is not a serious footballer. Berardi is not a real footballer man. How is Berardi an international footballer 😂😂. Berardi is an IDEA footballer. Ppl say Italy are winning the tournament with this Berar"&amp;"di guy on the wing….")</f>
        <v>Berardi does NOT know how to play football. Berardi is not a serious footballer. Berardi is not a real footballer man. How is Berardi an international footballer 😂😂. Berardi is an IDEA footballer. Ppl say Italy are winning the tournament with this Berardi guy on the wing….</v>
      </c>
      <c r="J19" s="39" t="s">
        <v>16</v>
      </c>
      <c r="K19" s="40">
        <f>IFERROR(__xludf.DUMMYFUNCTION("""COMPUTED_VALUE"""),44358.85699074074)</f>
        <v>44358.85699</v>
      </c>
      <c r="L19" s="5" t="str">
        <f>IFERROR(__xludf.DUMMYFUNCTION("""COMPUTED_VALUE"""),"What version of jorginho is this?!! 👀😲🙆... He's playing too many forward passes 😭😭😭. Jorginho with good skill and spinazola just had a heavy touch. Wat a pass from Jorginho. Great pass by Jorginho there, wasted. Jorginho really balling for this Ital"&amp;"ian team.")</f>
        <v>What version of jorginho is this?!! 👀😲🙆... He's playing too many forward passes 😭😭😭. Jorginho with good skill and spinazola just had a heavy touch. Wat a pass from Jorginho. Great pass by Jorginho there, wasted. Jorginho really balling for this Italian team.</v>
      </c>
      <c r="M19" s="39" t="s">
        <v>18</v>
      </c>
      <c r="P19" s="5"/>
      <c r="Q19" s="40">
        <f>IFERROR(__xludf.DUMMYFUNCTION("""COMPUTED_VALUE"""),44358.849756944444)</f>
        <v>44358.84976</v>
      </c>
      <c r="R19" s="5" t="str">
        <f>IFERROR(__xludf.DUMMYFUNCTION("""COMPUTED_VALUE"""),"Immobile to score a few this tournament calling it now. So happy for immobile, deserves that goal to silence all his haters. Immobile finally gets a big goal. Turkey have been shocking. Immobileeeeee Spinazzola assist ffsss doesnt have both in my team.")</f>
        <v>Immobile to score a few this tournament calling it now. So happy for immobile, deserves that goal to silence all his haters. Immobile finally gets a big goal. Turkey have been shocking. Immobileeeeee Spinazzola assist ffsss doesnt have both in my team.</v>
      </c>
      <c r="S19" s="39" t="s">
        <v>17</v>
      </c>
      <c r="V19" s="5"/>
      <c r="Y19" s="5"/>
      <c r="Z19" s="40">
        <f>IFERROR(__xludf.DUMMYFUNCTION("""COMPUTED_VALUE"""),44358.85763888889)</f>
        <v>44358.85764</v>
      </c>
      <c r="AA19" s="5" t="str">
        <f>IFERROR(__xludf.DUMMYFUNCTION("""COMPUTED_VALUE"""),"JORGINHO THE BEST REGISTA IN THE WORLD ‼️‼️‼️.")</f>
        <v>JORGINHO THE BEST REGISTA IN THE WORLD ‼️‼️‼️.</v>
      </c>
      <c r="AB19" s="39" t="s">
        <v>16</v>
      </c>
      <c r="AE19" s="5"/>
      <c r="AF19" s="40">
        <f>IFERROR(__xludf.DUMMYFUNCTION("""COMPUTED_VALUE"""),44358.84893518519)</f>
        <v>44358.84894</v>
      </c>
      <c r="AG19" s="5" t="str">
        <f>IFERROR(__xludf.DUMMYFUNCTION("""COMPUTED_VALUE"""),"Is Merih Demiral currently in the lead for the golden boot? EURO 2020. Personally think Jorginho should be leading the goalscoring table with that handball. 🇮🇹 Scenes after Italy take lead in the Group A opener against Turkey! ⚽️. #ITA EURO 2020.")</f>
        <v>Is Merih Demiral currently in the lead for the golden boot? EURO 2020. Personally think Jorginho should be leading the goalscoring table with that handball. 🇮🇹 Scenes after Italy take lead in the Group A opener against Turkey! ⚽️. #ITA EURO 2020.</v>
      </c>
      <c r="AH19" s="39" t="s">
        <v>16</v>
      </c>
      <c r="AK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6">
        <f>IFERROR(__xludf.DUMMYFUNCTION("IF(C20, COUNTIF(FILTER($D$26:$D1007, $A$26:$A1007=A20), TRUE)/C20, 0)"),1.0)</f>
        <v>1</v>
      </c>
      <c r="E20" s="40">
        <f>IFERROR(__xludf.DUMMYFUNCTION("""COMPUTED_VALUE"""),44358.84579861111)</f>
        <v>44358.8458</v>
      </c>
      <c r="F20" s="5" t="str">
        <f>IFERROR(__xludf.DUMMYFUNCTION("""COMPUTED_VALUE"""),"This Berardi player is making a mockery out here. Who joined me on that Berardi hype train? First player to get points on the board in EURO fantasy 2020!! 💙. Berardi warra player. TAKE BERARDI OFF NOW. All three Italy players in the box when Berardi shot"&amp;" that ball EURO 2020.")</f>
        <v>This Berardi player is making a mockery out here. Who joined me on that Berardi hype train? First player to get points on the board in EURO fantasy 2020!! 💙. Berardi warra player. TAKE BERARDI OFF NOW. All three Italy players in the box when Berardi shot that ball EURO 2020.</v>
      </c>
      <c r="G20" s="39" t="s">
        <v>16</v>
      </c>
      <c r="H20" s="40">
        <f>IFERROR(__xludf.DUMMYFUNCTION("""COMPUTED_VALUE"""),44358.84989583334)</f>
        <v>44358.8499</v>
      </c>
      <c r="I20" s="5" t="str">
        <f>IFERROR(__xludf.DUMMYFUNCTION("""COMPUTED_VALUE"""),"Immobile is a poorly named footballer EURO 2020. IMMOBILE FINALLY. Immobile will win golden boot and best player btw. Immobile! Game over, that’s proper football👏. Immobile finally gets his goal 👏🏾. YES IMMOBILE fantasy league points 😎. Wooooo Immobil"&amp;"e! Fantasy football rules!")</f>
        <v>Immobile is a poorly named footballer EURO 2020. IMMOBILE FINALLY. Immobile will win golden boot and best player btw. Immobile! Game over, that’s proper football👏. Immobile finally gets his goal 👏🏾. YES IMMOBILE fantasy league points 😎. Wooooo Immobile! Fantasy football rules!</v>
      </c>
      <c r="J20" s="39" t="s">
        <v>17</v>
      </c>
      <c r="K20" s="40">
        <f>IFERROR(__xludf.DUMMYFUNCTION("""COMPUTED_VALUE"""),44358.85925925926)</f>
        <v>44358.85926</v>
      </c>
      <c r="L20" s="5" t="str">
        <f>IFERROR(__xludf.DUMMYFUNCTION("""COMPUTED_VALUE"""),"Just passed home. That's just quality from Insigne. euro 2020. Italy’s passing is a joy to watch. #ITA Euro 2020. That is some awful pass from the Turkish goalkeeper. Euro 2020 #TUR. Lorenzo Insigne what a goal but that Immobile pass 🔥🔥🔥🔥🔥🔥🔥. Euro "&amp;"2020.")</f>
        <v>Just passed home. That's just quality from Insigne. euro 2020. Italy’s passing is a joy to watch. #ITA Euro 2020. That is some awful pass from the Turkish goalkeeper. Euro 2020 #TUR. Lorenzo Insigne what a goal but that Immobile pass 🔥🔥🔥🔥🔥🔥🔥. Euro 2020.</v>
      </c>
      <c r="M20" s="39" t="s">
        <v>17</v>
      </c>
      <c r="P20" s="5"/>
      <c r="Q20" s="40">
        <f>IFERROR(__xludf.DUMMYFUNCTION("""COMPUTED_VALUE"""),44358.85420138889)</f>
        <v>44358.8542</v>
      </c>
      <c r="R20" s="5" t="str">
        <f>IFERROR(__xludf.DUMMYFUNCTION("""COMPUTED_VALUE"""),"🇮🇹 Italy on top! Immobile follows up an own goal to give them a commanding lead over Turkey. #TURITA EURO 2020. Italy lead 0-2 after Immobile scores his first of the tournament from close range. ITALY LEAD 2-0! 🇮🇹. Ciro Immobile with his first goal of"&amp;" EURO 2020 💥.")</f>
        <v>🇮🇹 Italy on top! Immobile follows up an own goal to give them a commanding lead over Turkey. #TURITA EURO 2020. Italy lead 0-2 after Immobile scores his first of the tournament from close range. ITALY LEAD 2-0! 🇮🇹. Ciro Immobile with his first goal of EURO 2020 💥.</v>
      </c>
      <c r="S20" s="39" t="s">
        <v>18</v>
      </c>
      <c r="V20" s="5"/>
      <c r="Y20" s="5"/>
      <c r="Z20" s="40">
        <f>IFERROR(__xludf.DUMMYFUNCTION("""COMPUTED_VALUE"""),44358.85925925926)</f>
        <v>44358.85926</v>
      </c>
      <c r="AA20" s="5" t="str">
        <f>IFERROR(__xludf.DUMMYFUNCTION("""COMPUTED_VALUE"""),"Madness from Turkey keeper.. you've been the only decent player. #TURITA. Chiellini is one of the all time great central defenders 👏 Euro 2021. What a goal from Insigne.. The keeper had no chance... Oh Insigne scored. Lol what was that from the keeper.")</f>
        <v>Madness from Turkey keeper.. you've been the only decent player. #TURITA. Chiellini is one of the all time great central defenders 👏 Euro 2021. What a goal from Insigne.. The keeper had no chance... Oh Insigne scored. Lol what was that from the keeper.</v>
      </c>
      <c r="AB20" s="39" t="s">
        <v>17</v>
      </c>
      <c r="AE20" s="5"/>
      <c r="AF20" s="40">
        <f>IFERROR(__xludf.DUMMYFUNCTION("""COMPUTED_VALUE"""),44358.850023148145)</f>
        <v>44358.85002</v>
      </c>
      <c r="AG20" s="5" t="str">
        <f>IFERROR(__xludf.DUMMYFUNCTION("""COMPUTED_VALUE"""),"Immobile scores the second and it's game, set and match. euro 2020. Quick reaction for the 2nd by Immobile. Proving again that he's not immobile in the least. Turkeyvs Italy. Immobile with the goal from rebound and Italy is leading 2-0! EURO 2020.")</f>
        <v>Immobile scores the second and it's game, set and match. euro 2020. Quick reaction for the 2nd by Immobile. Proving again that he's not immobile in the least. Turkeyvs Italy. Immobile with the goal from rebound and Italy is leading 2-0! EURO 2020.</v>
      </c>
      <c r="AH20" s="39" t="s">
        <v>546</v>
      </c>
      <c r="AK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2</v>
      </c>
      <c r="D21" s="26">
        <f>IFERROR(__xludf.DUMMYFUNCTION("IF(C21, COUNTIF(FILTER($D$26:$D1007, $A$26:$A1007=A21), TRUE)/C21, 0)"),0.0)</f>
        <v>0</v>
      </c>
      <c r="E21" s="40">
        <f>IFERROR(__xludf.DUMMYFUNCTION("""COMPUTED_VALUE"""),44358.848912037036)</f>
        <v>44358.84891</v>
      </c>
      <c r="F21" s="5" t="str">
        <f>IFERROR(__xludf.DUMMYFUNCTION("""COMPUTED_VALUE"""),"A Juventus player (Demiral) scores a goal, but it's not for his home country. It's an own goal and Italy lead. Italy 1-0 Turkey. 🇮🇹 Scenes after Italy take lead in the Group A opener against Turkey! ⚽️. #ITA EURO 2020.")</f>
        <v>A Juventus player (Demiral) scores a goal, but it's not for his home country. It's an own goal and Italy lead. Italy 1-0 Turkey. 🇮🇹 Scenes after Italy take lead in the Group A opener against Turkey! ⚽️. #ITA EURO 2020.</v>
      </c>
      <c r="G21" s="39" t="s">
        <v>14</v>
      </c>
      <c r="H21" s="40">
        <f>IFERROR(__xludf.DUMMYFUNCTION("""COMPUTED_VALUE"""),44358.851875)</f>
        <v>44358.85188</v>
      </c>
      <c r="I21" s="5" t="str">
        <f>IFERROR(__xludf.DUMMYFUNCTION("""COMPUTED_VALUE"""),"What a great name for a footballer: ""Immobile"". 😀 Euro 2021. Spinazzola is a Footballer. Barella makes football look so easy. Proper lad! I hate football Football 😶. #TURITA. Jorginho is a world class footballer👍. Calhanoglu is a useless footballer.")</f>
        <v>What a great name for a footballer: "Immobile". 😀 Euro 2021. Spinazzola is a Footballer. Barella makes football look so easy. Proper lad! I hate football Football 😶. #TURITA. Jorginho is a world class footballer👍. Calhanoglu is a useless footballer.</v>
      </c>
      <c r="J21" s="39" t="s">
        <v>16</v>
      </c>
      <c r="K21" s="40">
        <f>IFERROR(__xludf.DUMMYFUNCTION("""COMPUTED_VALUE"""),44358.86334490741)</f>
        <v>44358.86334</v>
      </c>
      <c r="L21" s="5" t="str">
        <f>IFERROR(__xludf.DUMMYFUNCTION("""COMPUTED_VALUE"""),"Lorenzo Insigne showing the type of finishing that you'd expect from a potential Silver Ball award winner. Insigne gave out his car to deliver the ball. Insigne's Uber had more ball possession than Turkey. Lorenzo Insigne curling the ball into the far cor"&amp;"ner first time. Clean 😎.")</f>
        <v>Lorenzo Insigne showing the type of finishing that you'd expect from a potential Silver Ball award winner. Insigne gave out his car to deliver the ball. Insigne's Uber had more ball possession than Turkey. Lorenzo Insigne curling the ball into the far corner first time. Clean 😎.</v>
      </c>
      <c r="M21" s="39" t="s">
        <v>14</v>
      </c>
      <c r="P21" s="5"/>
      <c r="Q21" s="40">
        <f>IFERROR(__xludf.DUMMYFUNCTION("""COMPUTED_VALUE"""),44358.85560185185)</f>
        <v>44358.8556</v>
      </c>
      <c r="R21" s="5" t="str">
        <f>IFERROR(__xludf.DUMMYFUNCTION("""COMPUTED_VALUE"""),"🇮🇹 Ciro Immobile celebrates his 14th international goal for Italy ⚽️. EURO 2020.")</f>
        <v>🇮🇹 Ciro Immobile celebrates his 14th international goal for Italy ⚽️. EURO 2020.</v>
      </c>
      <c r="S21" s="39" t="s">
        <v>18</v>
      </c>
      <c r="V21" s="5"/>
      <c r="Y21" s="5"/>
      <c r="Z21" s="40">
        <f>IFERROR(__xludf.DUMMYFUNCTION("""COMPUTED_VALUE"""),44358.86827546296)</f>
        <v>44358.86828</v>
      </c>
      <c r="AA21" s="5" t="str">
        <f>IFERROR(__xludf.DUMMYFUNCTION("""COMPUTED_VALUE"""),"Chiellini body on the line man. My type of defender. That’s why Chiellini is one of my all time favourite defenders Euro 2020. People talk about defenders having pace…. I say Chiellini 🇮🇹. Chiellini at 50 is more agile than our in prime defenders 😭😭.")</f>
        <v>Chiellini body on the line man. My type of defender. That’s why Chiellini is one of my all time favourite defenders Euro 2020. People talk about defenders having pace…. I say Chiellini 🇮🇹. Chiellini at 50 is more agile than our in prime defenders 😭😭.</v>
      </c>
      <c r="AB21" s="39" t="s">
        <v>16</v>
      </c>
      <c r="AE21" s="5"/>
      <c r="AF21" s="40">
        <f>IFERROR(__xludf.DUMMYFUNCTION("""COMPUTED_VALUE"""),44358.852488425924)</f>
        <v>44358.85249</v>
      </c>
      <c r="AG21" s="5" t="str">
        <f>IFERROR(__xludf.DUMMYFUNCTION("""COMPUTED_VALUE"""),"Jorginho will not even need his kit washed, the man is in absolute CRUISE CONTROL. #TURITA. Italy cruise into a 2️⃣➖0️⃣ lead 🛵 #ITA.")</f>
        <v>Jorginho will not even need his kit washed, the man is in absolute CRUISE CONTROL. #TURITA. Italy cruise into a 2️⃣➖0️⃣ lead 🛵 #ITA.</v>
      </c>
      <c r="AH21" s="39" t="s">
        <v>14</v>
      </c>
      <c r="AK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0)"),0.5)</f>
        <v>0.5</v>
      </c>
      <c r="E22" s="40">
        <f>IFERROR(__xludf.DUMMYFUNCTION("""COMPUTED_VALUE"""),44358.85024305555)</f>
        <v>44358.85024</v>
      </c>
      <c r="F22" s="5" t="str">
        <f>IFERROR(__xludf.DUMMYFUNCTION("""COMPUTED_VALUE"""),"Immobile will win golden boot and best player btw. Immobile is a class player GS 0-2 game over. Immobile tap in for my Fantasy team I take it. Immobile deserved that goal. What a player. Barella is such a good player man. Spinazzola has this Turkey team o"&amp;"n their knees.")</f>
        <v>Immobile will win golden boot and best player btw. Immobile is a class player GS 0-2 game over. Immobile tap in for my Fantasy team I take it. Immobile deserved that goal. What a player. Barella is such a good player man. Spinazzola has this Turkey team on their knees.</v>
      </c>
      <c r="G22" s="39" t="s">
        <v>17</v>
      </c>
      <c r="H22" s="40">
        <f>IFERROR(__xludf.DUMMYFUNCTION("""COMPUTED_VALUE"""),44358.85865740741)</f>
        <v>44358.85866</v>
      </c>
      <c r="I22" s="5" t="str">
        <f>IFERROR(__xludf.DUMMYFUNCTION("""COMPUTED_VALUE"""),"FT are finally realizing how good Leonardo Spinazzola really is.. If Italy will win the euros insigne surely should win the ballon d'or right?!?!?!?!?!?!?!? Insigne finally scores one of them after 63826 attempts. Insigne finally gets his goal. Been their"&amp;" best attacker.")</f>
        <v>FT are finally realizing how good Leonardo Spinazzola really is.. If Italy will win the euros insigne surely should win the ballon d'or right?!?!?!?!?!?!?!? Insigne finally scores one of them after 63826 attempts. Insigne finally gets his goal. Been their best attacker.</v>
      </c>
      <c r="J22" s="39" t="s">
        <v>17</v>
      </c>
      <c r="M22" s="5"/>
      <c r="P22" s="5"/>
      <c r="Q22" s="40">
        <f>IFERROR(__xludf.DUMMYFUNCTION("""COMPUTED_VALUE"""),44358.85870370371)</f>
        <v>44358.8587</v>
      </c>
      <c r="R22" s="5" t="str">
        <f>IFERROR(__xludf.DUMMYFUNCTION("""COMPUTED_VALUE"""),"Finally insigne actually scores a far corner placed shot lmao, doing that all day. Some goal from Italy there, lovely finish by insigne too! Only took 100 chances for Insigne to score, can't wait for fans to want him in next. Insigne been the mvp of this "&amp;"game, well deserved goal.")</f>
        <v>Finally insigne actually scores a far corner placed shot lmao, doing that all day. Some goal from Italy there, lovely finish by insigne too! Only took 100 chances for Insigne to score, can't wait for fans to want him in next. Insigne been the mvp of this game, well deserved goal.</v>
      </c>
      <c r="S22" s="39" t="s">
        <v>17</v>
      </c>
      <c r="V22" s="5"/>
      <c r="Y22" s="5"/>
      <c r="Z22" s="40">
        <f>IFERROR(__xludf.DUMMYFUNCTION("""COMPUTED_VALUE"""),44358.87078703704)</f>
        <v>44358.87079</v>
      </c>
      <c r="AA22" s="5" t="str">
        <f>IFERROR(__xludf.DUMMYFUNCTION("""COMPUTED_VALUE"""),"Burak Yilmaz vs Italie | 11/06/21 | Euro 2021 | Skills and Highlight | The best Kebabier in the world 🔥🔥🔥.")</f>
        <v>Burak Yilmaz vs Italie | 11/06/21 | Euro 2021 | Skills and Highlight | The best Kebabier in the world 🔥🔥🔥.</v>
      </c>
      <c r="AB22" s="5"/>
      <c r="AE22" s="5"/>
      <c r="AF22" s="40">
        <f>IFERROR(__xludf.DUMMYFUNCTION("""COMPUTED_VALUE"""),44358.85420138889)</f>
        <v>44358.8542</v>
      </c>
      <c r="AG22" s="5" t="str">
        <f>IFERROR(__xludf.DUMMYFUNCTION("""COMPUTED_VALUE"""),"2-0 Italy. Ciro Immobile doubles the lead!. Ciro Immobile doubles the lead for Italy ❤️🔥. EURO 2020 #ITA. ITALY LEAD 2-0! 🇮🇹. Ciro Immobile with his first goal of EURO 2020 💥. 📸 Immobile fires in second for Italy against Turkey ⚽️. EURO 2020.")</f>
        <v>2-0 Italy. Ciro Immobile doubles the lead!. Ciro Immobile doubles the lead for Italy ❤️🔥. EURO 2020 #ITA. ITALY LEAD 2-0! 🇮🇹. Ciro Immobile with his first goal of EURO 2020 💥. 📸 Immobile fires in second for Italy against Turkey ⚽️. EURO 2020.</v>
      </c>
      <c r="AH22" s="39" t="s">
        <v>14</v>
      </c>
      <c r="AK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9</v>
      </c>
      <c r="D23" s="26">
        <f>IFERROR(__xludf.DUMMYFUNCTION("IF(C23, COUNTIF(FILTER($D$26:$D1007, $A$26:$A1007=A23), TRUE)/C23, 0)"),0.6666666666666666)</f>
        <v>0.6666666667</v>
      </c>
      <c r="E23" s="40">
        <f>IFERROR(__xludf.DUMMYFUNCTION("""COMPUTED_VALUE"""),44358.85282407407)</f>
        <v>44358.85282</v>
      </c>
      <c r="F23" s="5" t="str">
        <f>IFERROR(__xludf.DUMMYFUNCTION("""COMPUTED_VALUE"""),"#TUR players at full time.")</f>
        <v>#TUR players at full time.</v>
      </c>
      <c r="G23" s="39" t="s">
        <v>15</v>
      </c>
      <c r="H23" s="40">
        <f>IFERROR(__xludf.DUMMYFUNCTION("""COMPUTED_VALUE"""),44358.861666666664)</f>
        <v>44358.86167</v>
      </c>
      <c r="I23" s="5" t="str">
        <f>IFERROR(__xludf.DUMMYFUNCTION("""COMPUTED_VALUE"""),"I’ve got Insigne to win the golden boot so kinda wish he’d stayed on. Kebab is not football and is the worst food I ever seen. Bizim Cocuklar #tur. Jorginho has carried on his good form from the Champions League. Playing well for Italy against Turkey. Eur"&amp;"o 2021.")</f>
        <v>I’ve got Insigne to win the golden boot so kinda wish he’d stayed on. Kebab is not football and is the worst food I ever seen. Bizim Cocuklar #tur. Jorginho has carried on his good form from the Champions League. Playing well for Italy against Turkey. Euro 2021.</v>
      </c>
      <c r="J23" s="39" t="s">
        <v>17</v>
      </c>
      <c r="M23" s="5"/>
      <c r="P23" s="5"/>
      <c r="Q23" s="40">
        <f>IFERROR(__xludf.DUMMYFUNCTION("""COMPUTED_VALUE"""),44358.86797453703)</f>
        <v>44358.86797</v>
      </c>
      <c r="R23" s="5" t="str">
        <f>IFERROR(__xludf.DUMMYFUNCTION("""COMPUTED_VALUE"""),"Lorenzo Insigne’s last 12 games for Italy: Goals: 5 ⚽️. Assists: 7 🎯. EURO 2020 #ITA. ITALY LEAD 2-0! 🇮🇹. Ciro Immobile with his first goal of EURO 2020 💥. 🇮🇹 Italy score THREE in a EURO game for the first time! ⚽️⚽️⚽️. #ITA EURO 2020.")</f>
        <v>Lorenzo Insigne’s last 12 games for Italy: Goals: 5 ⚽️. Assists: 7 🎯. EURO 2020 #ITA. ITALY LEAD 2-0! 🇮🇹. Ciro Immobile with his first goal of EURO 2020 💥. 🇮🇹 Italy score THREE in a EURO game for the first time! ⚽️⚽️⚽️. #ITA EURO 2020.</v>
      </c>
      <c r="S23" s="39" t="s">
        <v>18</v>
      </c>
      <c r="V23" s="5"/>
      <c r="Y23" s="5"/>
      <c r="AB23" s="5"/>
      <c r="AE23" s="5"/>
      <c r="AF23" s="40">
        <f>IFERROR(__xludf.DUMMYFUNCTION("""COMPUTED_VALUE"""),44358.85921296296)</f>
        <v>44358.85921</v>
      </c>
      <c r="AG23" s="5" t="str">
        <f>IFERROR(__xludf.DUMMYFUNCTION("""COMPUTED_VALUE"""),"Insigne needs to come to the prem!!!!!! Goal Insigne! Italy now lead Turkey 3-0! 🇮🇹. INSIGNE should have done this in the first half. Seconds later insigne scores 🤦‍♂️ #TURITA. Insigne needed to score after all the short jokes 😭 happy for the guy.")</f>
        <v>Insigne needs to come to the prem!!!!!! Goal Insigne! Italy now lead Turkey 3-0! 🇮🇹. INSIGNE should have done this in the first half. Seconds later insigne scores 🤦‍♂️ #TURITA. Insigne needed to score after all the short jokes 😭 happy for the guy.</v>
      </c>
      <c r="AH23" s="39" t="s">
        <v>17</v>
      </c>
      <c r="AK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18</v>
      </c>
      <c r="D24" s="26">
        <f>COUNTIF($D$26:$D1007, TRUE)/C24</f>
        <v>0.6111111111</v>
      </c>
      <c r="E24" s="40">
        <f>IFERROR(__xludf.DUMMYFUNCTION("""COMPUTED_VALUE"""),44358.85540509259)</f>
        <v>44358.85541</v>
      </c>
      <c r="F24" s="5" t="str">
        <f>IFERROR(__xludf.DUMMYFUNCTION("""COMPUTED_VALUE"""),"Locatelli, what a player. Locatelli - De Paul - Partey. Midfield goes from ass to class. I'm on my knees Arsenal. Locatelli is a quality player. How dare Mancini take off Locatelli 😂. Locatelli goes off for Cristante. Both Milan Ex Players 🥺.")</f>
        <v>Locatelli, what a player. Locatelli - De Paul - Partey. Midfield goes from ass to class. I'm on my knees Arsenal. Locatelli is a quality player. How dare Mancini take off Locatelli 😂. Locatelli goes off for Cristante. Both Milan Ex Players 🥺.</v>
      </c>
      <c r="G24" s="39" t="s">
        <v>17</v>
      </c>
      <c r="H24" s="40">
        <f>IFERROR(__xludf.DUMMYFUNCTION("""COMPUTED_VALUE"""),44358.86296296296)</f>
        <v>44358.86296</v>
      </c>
      <c r="I24" s="5" t="str">
        <f>IFERROR(__xludf.DUMMYFUNCTION("""COMPUTED_VALUE"""),"Immobile for Lazio: 177 games. 123 goals. 33 assists. All league #ITA. Jorginho has carried on his good form from the Champions League. Playing well for Italy against Turkey. Euro 2021.")</f>
        <v>Immobile for Lazio: 177 games. 123 goals. 33 assists. All league #ITA. Jorginho has carried on his good form from the Champions League. Playing well for Italy against Turkey. Euro 2021.</v>
      </c>
      <c r="J24" s="39" t="s">
        <v>18</v>
      </c>
      <c r="M24" s="5"/>
      <c r="P24" s="5"/>
      <c r="S24" s="5"/>
      <c r="V24" s="5"/>
      <c r="Y24" s="5"/>
      <c r="AB24" s="5"/>
      <c r="AE24" s="5"/>
      <c r="AF24" s="40">
        <f>IFERROR(__xludf.DUMMYFUNCTION("""COMPUTED_VALUE"""),44358.86071759259)</f>
        <v>44358.86072</v>
      </c>
      <c r="AG24" s="5" t="str">
        <f>IFERROR(__xludf.DUMMYFUNCTION("""COMPUTED_VALUE"""),"Insigne was about to be subbed. Oh well it's a game of luck afterall. Phew, Got my Insigne goal just before he got subbed off. Aloooo immobile sub off ☹️. Immobile subbed off 😓. EURO 2020 #ITA. 😭😂Chiesa getting subbed on. I HAD FUCKING INSIGNE BUT SUBB"&amp;"ED HIM OUT I WANNA DIE.")</f>
        <v>Insigne was about to be subbed. Oh well it's a game of luck afterall. Phew, Got my Insigne goal just before he got subbed off. Aloooo immobile sub off ☹️. Immobile subbed off 😓. EURO 2020 #ITA. 😭😂Chiesa getting subbed on. I HAD FUCKING INSIGNE BUT SUBBED HIM OUT I WANNA DIE.</v>
      </c>
      <c r="AH24" s="39" t="s">
        <v>17</v>
      </c>
      <c r="AK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E25" s="40">
        <f>IFERROR(__xludf.DUMMYFUNCTION("""COMPUTED_VALUE"""),44358.8569212963)</f>
        <v>44358.85692</v>
      </c>
      <c r="F25" s="5" t="str">
        <f>IFERROR(__xludf.DUMMYFUNCTION("""COMPUTED_VALUE"""),"Jorginho has turned into some player since tuchel came in. Jorginho with samba magic what a player. What a player jorginho is. Cesc Fabregas says Jorginho is a good player and part of the reason why he left Chelsea but he’s unsure how he’ll do without N’G"&amp;"olo Kante 👀.")</f>
        <v>Jorginho has turned into some player since tuchel came in. Jorginho with samba magic what a player. What a player jorginho is. Cesc Fabregas says Jorginho is a good player and part of the reason why he left Chelsea but he’s unsure how he’ll do without N’Golo Kante 👀.</v>
      </c>
      <c r="G25" s="39" t="s">
        <v>16</v>
      </c>
      <c r="H25" s="40">
        <f>IFERROR(__xludf.DUMMYFUNCTION("""COMPUTED_VALUE"""),44358.865636574075)</f>
        <v>44358.86564</v>
      </c>
      <c r="I25" s="5" t="str">
        <f>IFERROR(__xludf.DUMMYFUNCTION("""COMPUTED_VALUE"""),"It’s painful watching Bernardeschi play football. Bernardeschi is lucky we are 3-0 , oml he’s pissing me off and we are winning ffs. Barella is a smashing footballer. In the Premier League that's a red card for that foul on Barella. Barella broken tibia? "&amp;"A win in my book.")</f>
        <v>It’s painful watching Bernardeschi play football. Bernardeschi is lucky we are 3-0 , oml he’s pissing me off and we are winning ffs. Barella is a smashing footballer. In the Premier League that's a red card for that foul on Barella. Barella broken tibia? A win in my book.</v>
      </c>
      <c r="J25" s="39" t="s">
        <v>15</v>
      </c>
      <c r="M25" s="5"/>
      <c r="P25" s="5"/>
      <c r="S25" s="5"/>
      <c r="V25" s="5"/>
      <c r="Y25" s="5"/>
      <c r="AB25" s="5"/>
      <c r="AE25" s="5"/>
      <c r="AH25" s="5"/>
      <c r="AK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0</v>
      </c>
      <c r="E26" s="40">
        <f>IFERROR(__xludf.DUMMYFUNCTION("""COMPUTED_VALUE"""),44358.858136574076)</f>
        <v>44358.85814</v>
      </c>
      <c r="F26" s="5" t="str">
        <f>IFERROR(__xludf.DUMMYFUNCTION("""COMPUTED_VALUE"""),"How has Insigne managed to be the worst player on the pitch in a game where the opposition have touched the ball about 4 times. Spinazzola and Immobile are the only players playing football tonight. Insigne is the best player in the world.")</f>
        <v>How has Insigne managed to be the worst player on the pitch in a game where the opposition have touched the ball about 4 times. Spinazzola and Immobile are the only players playing football tonight. Insigne is the best player in the world.</v>
      </c>
      <c r="G26" s="39" t="s">
        <v>16</v>
      </c>
      <c r="H26" s="40">
        <f>IFERROR(__xludf.DUMMYFUNCTION("""COMPUTED_VALUE"""),44358.86675925926)</f>
        <v>44358.86676</v>
      </c>
      <c r="I26" s="5" t="str">
        <f>IFERROR(__xludf.DUMMYFUNCTION("""COMPUTED_VALUE"""),"In Football Manager Italy lose this game 1-0 #TURITA. Jorginho prop, finally. Barella broken tibia? A win in my book. Jorginho and Barella absolutely class controlling the tempo of the game from the midfield in this game. Brilliant football.")</f>
        <v>In Football Manager Italy lose this game 1-0 #TURITA. Jorginho prop, finally. Barella broken tibia? A win in my book. Jorginho and Barella absolutely class controlling the tempo of the game from the midfield in this game. Brilliant football.</v>
      </c>
      <c r="J26" s="39" t="s">
        <v>16</v>
      </c>
      <c r="M26" s="5"/>
      <c r="P26" s="5"/>
      <c r="S26" s="5"/>
      <c r="V26" s="5"/>
      <c r="Y26" s="5"/>
      <c r="AB26" s="5"/>
      <c r="AE26" s="5"/>
      <c r="AH26" s="5"/>
      <c r="AK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51</v>
      </c>
      <c r="B27" s="19" t="s">
        <v>64</v>
      </c>
      <c r="C27" s="21">
        <v>45.0</v>
      </c>
      <c r="D27" s="35" t="b">
        <v>1</v>
      </c>
      <c r="E27" s="40">
        <f>IFERROR(__xludf.DUMMYFUNCTION("""COMPUTED_VALUE"""),44358.86494212963)</f>
        <v>44358.86494</v>
      </c>
      <c r="F27" s="5" t="str">
        <f>IFERROR(__xludf.DUMMYFUNCTION("""COMPUTED_VALUE"""),"Bernardeschi in, 4 Juve players on pitch for Italy.. #ITA. Bernardeschi wallah you're not a player. Bernardeschi is so bad I can’t take it. Barella. What a player. Bernardeschi and castillejo are the same player. Bernardeschi is by far the worst player on"&amp;" #ITA.")</f>
        <v>Bernardeschi in, 4 Juve players on pitch for Italy.. #ITA. Bernardeschi wallah you're not a player. Bernardeschi is so bad I can’t take it. Barella. What a player. Bernardeschi and castillejo are the same player. Bernardeschi is by far the worst player on #ITA.</v>
      </c>
      <c r="G27" s="39" t="s">
        <v>17</v>
      </c>
      <c r="H27" s="40">
        <f>IFERROR(__xludf.DUMMYFUNCTION("""COMPUTED_VALUE"""),44358.86828703704)</f>
        <v>44358.86829</v>
      </c>
      <c r="I27" s="5" t="str">
        <f>IFERROR(__xludf.DUMMYFUNCTION("""COMPUTED_VALUE"""),"Mancini win will be delightful. Nico barella makes football look so easy. This keeper has the worst feet I've ever seen. Like his first day with a football at his feet! 🤦 #TUR #ITATUR. 28 matches unbeaten. Eased to a 3-0 win on the opening day of EURO 20"&amp;"20. #ITA are all business..")</f>
        <v>Mancini win will be delightful. Nico barella makes football look so easy. This keeper has the worst feet I've ever seen. Like his first day with a football at his feet! 🤦 #TUR #ITATUR. 28 matches unbeaten. Eased to a 3-0 win on the opening day of EURO 2020. #ITA are all business..</v>
      </c>
      <c r="J27" s="39" t="s">
        <v>17</v>
      </c>
      <c r="M27" s="5"/>
      <c r="P27" s="5"/>
      <c r="S27" s="5"/>
      <c r="V27" s="5"/>
      <c r="Y27" s="5"/>
      <c r="AB27" s="5"/>
      <c r="AE27" s="5"/>
      <c r="AH27" s="5"/>
      <c r="AK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51</v>
      </c>
      <c r="B28" s="19" t="s">
        <v>65</v>
      </c>
      <c r="C28" s="21">
        <v>45.0</v>
      </c>
      <c r="D28" s="35" t="b">
        <v>0</v>
      </c>
      <c r="E28" s="40">
        <f>IFERROR(__xludf.DUMMYFUNCTION("""COMPUTED_VALUE"""),44358.86876157408)</f>
        <v>44358.86876</v>
      </c>
      <c r="F28" s="5" t="str">
        <f>IFERROR(__xludf.DUMMYFUNCTION("""COMPUTED_VALUE"""),"Giorgio Chiellini, take a fucking bow! Euro 2020. Chiellini what a player, like wine better with EURO 2020. What a player Chiellini still is #ITA. Chiellini taking goal kicks is exactly the sort of thing the Euros is all about. Spinazzola football player "&amp;"of the day.")</f>
        <v>Giorgio Chiellini, take a fucking bow! Euro 2020. Chiellini what a player, like wine better with EURO 2020. What a player Chiellini still is #ITA. Chiellini taking goal kicks is exactly the sort of thing the Euros is all about. Spinazzola football player of the day.</v>
      </c>
      <c r="G28" s="39" t="s">
        <v>15</v>
      </c>
      <c r="H28" s="40">
        <f>IFERROR(__xludf.DUMMYFUNCTION("""COMPUTED_VALUE"""),44358.87290509259)</f>
        <v>44358.87291</v>
      </c>
      <c r="I28" s="5" t="str">
        <f>IFERROR(__xludf.DUMMYFUNCTION("""COMPUTED_VALUE"""),"Jorginho might win the euros for Italy aw by himself. Chiellini's joy at saving the clean sheet with that tackle in the final minute might have been even better than Italy's goals.")</f>
        <v>Jorginho might win the euros for Italy aw by himself. Chiellini's joy at saving the clean sheet with that tackle in the final minute might have been even better than Italy's goals.</v>
      </c>
      <c r="J28" s="5"/>
      <c r="M28" s="5"/>
      <c r="P28" s="5"/>
      <c r="S28" s="5"/>
      <c r="V28" s="5"/>
      <c r="Y28" s="5"/>
      <c r="AB28" s="5"/>
      <c r="AE28" s="5"/>
      <c r="AH28" s="5"/>
      <c r="AK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53</v>
      </c>
      <c r="B29" s="19" t="s">
        <v>547</v>
      </c>
      <c r="C29" s="21">
        <v>46.0</v>
      </c>
      <c r="D29" s="35" t="b">
        <v>1</v>
      </c>
      <c r="E29" s="40">
        <f>IFERROR(__xludf.DUMMYFUNCTION("""COMPUTED_VALUE"""),44358.87140046296)</f>
        <v>44358.8714</v>
      </c>
      <c r="F29" s="5" t="str">
        <f>IFERROR(__xludf.DUMMYFUNCTION("""COMPUTED_VALUE"""),"Jorginho what a player. Jorginho is an extremely intelligent player. Cesc Fabregas says Jorginho is a good player and part of the reason why he left Chelsea but he’s unsure how he’ll do without N’Golo Kante 👀. Jorginho was cooking tonight, star player.")</f>
        <v>Jorginho what a player. Jorginho is an extremely intelligent player. Cesc Fabregas says Jorginho is a good player and part of the reason why he left Chelsea but he’s unsure how he’ll do without N’Golo Kante 👀. Jorginho was cooking tonight, star player.</v>
      </c>
      <c r="G29" s="5"/>
      <c r="J29" s="5"/>
      <c r="M29" s="5"/>
      <c r="P29" s="5"/>
      <c r="S29" s="5"/>
      <c r="V29" s="5"/>
      <c r="Y29" s="5"/>
      <c r="AB29" s="5"/>
      <c r="AE29" s="5"/>
      <c r="AH29" s="5"/>
      <c r="AK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53</v>
      </c>
      <c r="B30" s="19" t="s">
        <v>548</v>
      </c>
      <c r="C30" s="21">
        <v>46.0</v>
      </c>
      <c r="D30" s="35" t="b">
        <v>1</v>
      </c>
      <c r="G30" s="5"/>
      <c r="J30" s="5"/>
      <c r="M30" s="5"/>
      <c r="P30" s="5"/>
      <c r="S30" s="5"/>
      <c r="V30" s="5"/>
      <c r="Y30" s="5"/>
      <c r="AB30" s="5"/>
      <c r="AE30" s="5"/>
      <c r="AH30" s="5"/>
      <c r="AK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47</v>
      </c>
      <c r="B31" s="19" t="s">
        <v>549</v>
      </c>
      <c r="C31" s="21">
        <v>53.0</v>
      </c>
      <c r="D31" s="35" t="b">
        <v>1</v>
      </c>
      <c r="G31" s="5"/>
      <c r="J31" s="5"/>
      <c r="M31" s="5"/>
      <c r="P31" s="5"/>
      <c r="S31" s="5"/>
      <c r="V31" s="5"/>
      <c r="Y31" s="5"/>
      <c r="AB31" s="5"/>
      <c r="AE31" s="5"/>
      <c r="AH31" s="5"/>
      <c r="AK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53</v>
      </c>
      <c r="B32" s="42" t="s">
        <v>550</v>
      </c>
      <c r="C32" s="21">
        <v>64.0</v>
      </c>
      <c r="D32" s="35" t="b">
        <v>0</v>
      </c>
      <c r="G32" s="5"/>
      <c r="J32" s="5"/>
      <c r="M32" s="5"/>
      <c r="P32" s="5"/>
      <c r="S32" s="5"/>
      <c r="V32" s="5"/>
      <c r="Y32" s="5"/>
      <c r="AB32" s="5"/>
      <c r="AE32" s="5"/>
      <c r="AH32" s="5"/>
      <c r="AK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53</v>
      </c>
      <c r="B33" s="42" t="s">
        <v>551</v>
      </c>
      <c r="C33" s="21">
        <v>65.0</v>
      </c>
      <c r="D33" s="35" t="b">
        <v>0</v>
      </c>
      <c r="G33" s="5"/>
      <c r="J33" s="5"/>
      <c r="M33" s="5"/>
      <c r="P33" s="5"/>
      <c r="S33" s="5"/>
      <c r="V33" s="5"/>
      <c r="Y33" s="5"/>
      <c r="AB33" s="5"/>
      <c r="AE33" s="5"/>
      <c r="AH33" s="5"/>
      <c r="AK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47</v>
      </c>
      <c r="B34" s="42" t="s">
        <v>552</v>
      </c>
      <c r="C34" s="21">
        <v>66.0</v>
      </c>
      <c r="D34" s="35" t="b">
        <v>1</v>
      </c>
      <c r="G34" s="5"/>
      <c r="J34" s="5"/>
      <c r="M34" s="5"/>
      <c r="P34" s="5"/>
      <c r="S34" s="5"/>
      <c r="V34" s="5"/>
      <c r="Y34" s="5"/>
      <c r="AB34" s="5"/>
      <c r="AE34" s="5"/>
      <c r="AH34" s="5"/>
      <c r="AK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42" t="s">
        <v>553</v>
      </c>
      <c r="C35" s="21">
        <v>74.0</v>
      </c>
      <c r="D35" s="35" t="b">
        <v>1</v>
      </c>
      <c r="G35" s="5"/>
      <c r="J35" s="5"/>
      <c r="M35" s="5"/>
      <c r="P35" s="5"/>
      <c r="S35" s="5"/>
      <c r="V35" s="5"/>
      <c r="Y35" s="5"/>
      <c r="AB35" s="5"/>
      <c r="AE35" s="5"/>
      <c r="AH35" s="5"/>
      <c r="AK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42" t="s">
        <v>554</v>
      </c>
      <c r="C36" s="21">
        <v>76.0</v>
      </c>
      <c r="D36" s="35" t="b">
        <v>0</v>
      </c>
      <c r="G36" s="5"/>
      <c r="J36" s="5"/>
      <c r="M36" s="5"/>
      <c r="P36" s="5"/>
      <c r="S36" s="5"/>
      <c r="V36" s="5"/>
      <c r="Y36" s="5"/>
      <c r="AB36" s="5"/>
      <c r="AE36" s="5"/>
      <c r="AH36" s="5"/>
      <c r="AK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47</v>
      </c>
      <c r="B37" s="42" t="s">
        <v>555</v>
      </c>
      <c r="C37" s="21">
        <v>79.0</v>
      </c>
      <c r="D37" s="35" t="b">
        <v>1</v>
      </c>
      <c r="G37" s="5"/>
      <c r="J37" s="5"/>
      <c r="M37" s="5"/>
      <c r="P37" s="5"/>
      <c r="S37" s="5"/>
      <c r="V37" s="5"/>
      <c r="Y37" s="5"/>
      <c r="AB37" s="5"/>
      <c r="AE37" s="5"/>
      <c r="AH37" s="5"/>
      <c r="AK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42" t="s">
        <v>556</v>
      </c>
      <c r="C38" s="21">
        <v>81.0</v>
      </c>
      <c r="D38" s="35" t="b">
        <v>1</v>
      </c>
      <c r="G38" s="5"/>
      <c r="J38" s="5"/>
      <c r="M38" s="5"/>
      <c r="P38" s="5"/>
      <c r="S38" s="5"/>
      <c r="V38" s="5"/>
      <c r="Y38" s="5"/>
      <c r="AB38" s="5"/>
      <c r="AE38" s="5"/>
      <c r="AH38" s="5"/>
      <c r="AK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53</v>
      </c>
      <c r="B39" s="42" t="s">
        <v>557</v>
      </c>
      <c r="C39" s="21">
        <v>81.0</v>
      </c>
      <c r="D39" s="35" t="b">
        <v>1</v>
      </c>
      <c r="G39" s="5"/>
      <c r="J39" s="5"/>
      <c r="M39" s="5"/>
      <c r="P39" s="5"/>
      <c r="S39" s="5"/>
      <c r="V39" s="5"/>
      <c r="Y39" s="5"/>
      <c r="AB39" s="5"/>
      <c r="AE39" s="5"/>
      <c r="AH39" s="5"/>
      <c r="AK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t="s">
        <v>53</v>
      </c>
      <c r="B40" s="42" t="s">
        <v>558</v>
      </c>
      <c r="C40" s="21">
        <v>85.0</v>
      </c>
      <c r="D40" s="35" t="b">
        <v>1</v>
      </c>
      <c r="G40" s="5"/>
      <c r="J40" s="5"/>
      <c r="M40" s="5"/>
      <c r="P40" s="5"/>
      <c r="S40" s="5"/>
      <c r="V40" s="5"/>
      <c r="Y40" s="5"/>
      <c r="AB40" s="5"/>
      <c r="AE40" s="5"/>
      <c r="AH40" s="5"/>
      <c r="AK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A41" s="19" t="s">
        <v>49</v>
      </c>
      <c r="B41" s="42" t="s">
        <v>559</v>
      </c>
      <c r="C41" s="21">
        <v>88.0</v>
      </c>
      <c r="D41" s="35" t="b">
        <v>0</v>
      </c>
      <c r="G41" s="5"/>
      <c r="J41" s="5"/>
      <c r="M41" s="5"/>
      <c r="P41" s="5"/>
      <c r="S41" s="5"/>
      <c r="V41" s="5"/>
      <c r="Y41" s="5"/>
      <c r="AB41" s="5"/>
      <c r="AE41" s="5"/>
      <c r="AH41" s="5"/>
      <c r="AK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A42" s="19" t="s">
        <v>49</v>
      </c>
      <c r="B42" s="42" t="s">
        <v>560</v>
      </c>
      <c r="C42" s="21">
        <v>90.0</v>
      </c>
      <c r="D42" s="35" t="b">
        <v>0</v>
      </c>
      <c r="G42" s="5"/>
      <c r="J42" s="5"/>
      <c r="M42" s="5"/>
      <c r="P42" s="5"/>
      <c r="S42" s="5"/>
      <c r="V42" s="5"/>
      <c r="Y42" s="5"/>
      <c r="AB42" s="5"/>
      <c r="AE42" s="5"/>
      <c r="AH42" s="5"/>
      <c r="AK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A43" s="19" t="s">
        <v>51</v>
      </c>
      <c r="B43" s="42" t="s">
        <v>74</v>
      </c>
      <c r="C43" s="21">
        <v>90.0</v>
      </c>
      <c r="D43" s="35" t="b">
        <v>1</v>
      </c>
      <c r="G43" s="5"/>
      <c r="J43" s="5"/>
      <c r="M43" s="5"/>
      <c r="P43" s="5"/>
      <c r="S43" s="5"/>
      <c r="V43" s="5"/>
      <c r="Y43" s="5"/>
      <c r="AB43" s="5"/>
      <c r="AE43" s="5"/>
      <c r="AH43" s="5"/>
      <c r="AK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B46" s="36"/>
      <c r="C46" s="26"/>
      <c r="D46" s="19"/>
      <c r="G46" s="5"/>
      <c r="J46" s="5"/>
      <c r="M46" s="5"/>
      <c r="P46" s="5"/>
      <c r="S46" s="5"/>
      <c r="V46" s="5"/>
      <c r="Y46" s="5"/>
      <c r="AB46" s="5"/>
      <c r="AE46" s="5"/>
      <c r="AH46" s="5"/>
      <c r="AK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row r="881">
      <c r="AO881" s="40"/>
      <c r="AP881" s="5"/>
      <c r="AR881" s="40"/>
      <c r="AS881" s="5"/>
      <c r="AU881" s="40"/>
      <c r="AV881" s="5"/>
      <c r="AX881" s="40"/>
      <c r="AY881" s="5"/>
      <c r="BA881" s="40"/>
      <c r="BB881" s="5"/>
      <c r="BD881" s="40"/>
      <c r="BE881" s="5"/>
      <c r="BG881" s="40"/>
      <c r="BH881" s="5"/>
      <c r="BJ881" s="40"/>
      <c r="BK881" s="5"/>
      <c r="BM881" s="40"/>
      <c r="BN881" s="5"/>
      <c r="BP881" s="40"/>
      <c r="BQ881" s="5"/>
      <c r="BS881" s="40"/>
      <c r="BT881" s="5"/>
      <c r="BV881" s="40"/>
      <c r="BW881" s="5"/>
      <c r="BY881" s="40"/>
      <c r="BZ881" s="5"/>
      <c r="CB881" s="40"/>
      <c r="CC881" s="5"/>
      <c r="CE881" s="40"/>
      <c r="CF881" s="5"/>
      <c r="CH881" s="40"/>
      <c r="CI881" s="5"/>
      <c r="CK881" s="40"/>
      <c r="CL881" s="5"/>
      <c r="CN881" s="40"/>
      <c r="CO881" s="5"/>
      <c r="CQ881" s="40"/>
      <c r="CR881" s="5"/>
    </row>
    <row r="882">
      <c r="AO882" s="40"/>
      <c r="AP882" s="5"/>
      <c r="AR882" s="40"/>
      <c r="AS882" s="5"/>
      <c r="AU882" s="40"/>
      <c r="AV882" s="5"/>
      <c r="AX882" s="40"/>
      <c r="AY882" s="5"/>
      <c r="BA882" s="40"/>
      <c r="BB882" s="5"/>
      <c r="BD882" s="40"/>
      <c r="BE882" s="5"/>
      <c r="BG882" s="40"/>
      <c r="BH882" s="5"/>
      <c r="BJ882" s="40"/>
      <c r="BK882" s="5"/>
      <c r="BM882" s="40"/>
      <c r="BN882" s="5"/>
      <c r="BP882" s="40"/>
      <c r="BQ882" s="5"/>
      <c r="BS882" s="40"/>
      <c r="BT882" s="5"/>
      <c r="BV882" s="40"/>
      <c r="BW882" s="5"/>
      <c r="BY882" s="40"/>
      <c r="BZ882" s="5"/>
      <c r="CB882" s="40"/>
      <c r="CC882" s="5"/>
      <c r="CE882" s="40"/>
      <c r="CF882" s="5"/>
      <c r="CH882" s="40"/>
      <c r="CI882" s="5"/>
      <c r="CK882" s="40"/>
      <c r="CL882" s="5"/>
      <c r="CN882" s="40"/>
      <c r="CO882" s="5"/>
      <c r="CQ882" s="40"/>
      <c r="CR882" s="5"/>
    </row>
    <row r="883">
      <c r="AO883" s="40"/>
      <c r="AP883" s="5"/>
      <c r="AR883" s="40"/>
      <c r="AS883" s="5"/>
      <c r="AU883" s="40"/>
      <c r="AV883" s="5"/>
      <c r="AX883" s="40"/>
      <c r="AY883" s="5"/>
      <c r="BA883" s="40"/>
      <c r="BB883" s="5"/>
      <c r="BD883" s="40"/>
      <c r="BE883" s="5"/>
      <c r="BG883" s="40"/>
      <c r="BH883" s="5"/>
      <c r="BJ883" s="40"/>
      <c r="BK883" s="5"/>
      <c r="BM883" s="40"/>
      <c r="BN883" s="5"/>
      <c r="BP883" s="40"/>
      <c r="BQ883" s="5"/>
      <c r="BS883" s="40"/>
      <c r="BT883" s="5"/>
      <c r="BV883" s="40"/>
      <c r="BW883" s="5"/>
      <c r="BY883" s="40"/>
      <c r="BZ883" s="5"/>
      <c r="CB883" s="40"/>
      <c r="CC883" s="5"/>
      <c r="CE883" s="40"/>
      <c r="CF883" s="5"/>
      <c r="CH883" s="40"/>
      <c r="CI883" s="5"/>
      <c r="CK883" s="40"/>
      <c r="CL883" s="5"/>
      <c r="CN883" s="40"/>
      <c r="CO883" s="5"/>
      <c r="CQ883" s="40"/>
      <c r="CR883" s="5"/>
    </row>
    <row r="884">
      <c r="AO884" s="40"/>
      <c r="AP884" s="5"/>
      <c r="AR884" s="40"/>
      <c r="AS884" s="5"/>
      <c r="AU884" s="40"/>
      <c r="AV884" s="5"/>
      <c r="AX884" s="40"/>
      <c r="AY884" s="5"/>
      <c r="BA884" s="40"/>
      <c r="BB884" s="5"/>
      <c r="BD884" s="40"/>
      <c r="BE884" s="5"/>
      <c r="BG884" s="40"/>
      <c r="BH884" s="5"/>
      <c r="BJ884" s="40"/>
      <c r="BK884" s="5"/>
      <c r="BM884" s="40"/>
      <c r="BN884" s="5"/>
      <c r="BP884" s="40"/>
      <c r="BQ884" s="5"/>
      <c r="BS884" s="40"/>
      <c r="BT884" s="5"/>
      <c r="BV884" s="40"/>
      <c r="BW884" s="5"/>
      <c r="BY884" s="40"/>
      <c r="BZ884" s="5"/>
      <c r="CB884" s="40"/>
      <c r="CC884" s="5"/>
      <c r="CE884" s="40"/>
      <c r="CF884" s="5"/>
      <c r="CH884" s="40"/>
      <c r="CI884" s="5"/>
      <c r="CK884" s="40"/>
      <c r="CL884" s="5"/>
      <c r="CN884" s="40"/>
      <c r="CO884" s="5"/>
      <c r="CQ884" s="40"/>
      <c r="CR884" s="5"/>
    </row>
    <row r="885">
      <c r="AO885" s="40"/>
      <c r="AP885" s="5"/>
      <c r="AR885" s="40"/>
      <c r="AS885" s="5"/>
      <c r="AU885" s="40"/>
      <c r="AV885" s="5"/>
      <c r="AX885" s="40"/>
      <c r="AY885" s="5"/>
      <c r="BA885" s="40"/>
      <c r="BB885" s="5"/>
      <c r="BD885" s="40"/>
      <c r="BE885" s="5"/>
      <c r="BG885" s="40"/>
      <c r="BH885" s="5"/>
      <c r="BJ885" s="40"/>
      <c r="BK885" s="5"/>
      <c r="BM885" s="40"/>
      <c r="BN885" s="5"/>
      <c r="BP885" s="40"/>
      <c r="BQ885" s="5"/>
      <c r="BS885" s="40"/>
      <c r="BT885" s="5"/>
      <c r="BV885" s="40"/>
      <c r="BW885" s="5"/>
      <c r="BY885" s="40"/>
      <c r="BZ885" s="5"/>
      <c r="CB885" s="40"/>
      <c r="CC885" s="5"/>
      <c r="CE885" s="40"/>
      <c r="CF885" s="5"/>
      <c r="CH885" s="40"/>
      <c r="CI885" s="5"/>
      <c r="CK885" s="40"/>
      <c r="CL885" s="5"/>
      <c r="CN885" s="40"/>
      <c r="CO885" s="5"/>
      <c r="CQ885" s="40"/>
      <c r="CR885" s="5"/>
    </row>
    <row r="886">
      <c r="AO886" s="40"/>
      <c r="AP886" s="5"/>
      <c r="AR886" s="40"/>
      <c r="AS886" s="5"/>
      <c r="AU886" s="40"/>
      <c r="AV886" s="5"/>
      <c r="AX886" s="40"/>
      <c r="AY886" s="5"/>
      <c r="BA886" s="40"/>
      <c r="BB886" s="5"/>
      <c r="BD886" s="40"/>
      <c r="BE886" s="5"/>
      <c r="BG886" s="40"/>
      <c r="BH886" s="5"/>
      <c r="BJ886" s="40"/>
      <c r="BK886" s="5"/>
      <c r="BM886" s="40"/>
      <c r="BN886" s="5"/>
      <c r="BP886" s="40"/>
      <c r="BQ886" s="5"/>
      <c r="BS886" s="40"/>
      <c r="BT886" s="5"/>
      <c r="BV886" s="40"/>
      <c r="BW886" s="5"/>
      <c r="BY886" s="40"/>
      <c r="BZ886" s="5"/>
      <c r="CB886" s="40"/>
      <c r="CC886" s="5"/>
      <c r="CE886" s="40"/>
      <c r="CF886" s="5"/>
      <c r="CH886" s="40"/>
      <c r="CI886" s="5"/>
      <c r="CK886" s="40"/>
      <c r="CL886" s="5"/>
      <c r="CN886" s="40"/>
      <c r="CO886" s="5"/>
      <c r="CQ886" s="40"/>
      <c r="CR886" s="5"/>
    </row>
    <row r="887">
      <c r="AO887" s="40"/>
      <c r="AP887" s="5"/>
      <c r="AR887" s="40"/>
      <c r="AS887" s="5"/>
      <c r="AU887" s="40"/>
      <c r="AV887" s="5"/>
      <c r="AX887" s="40"/>
      <c r="AY887" s="5"/>
      <c r="BA887" s="40"/>
      <c r="BB887" s="5"/>
      <c r="BD887" s="40"/>
      <c r="BE887" s="5"/>
      <c r="BG887" s="40"/>
      <c r="BH887" s="5"/>
      <c r="BJ887" s="40"/>
      <c r="BK887" s="5"/>
      <c r="BM887" s="40"/>
      <c r="BN887" s="5"/>
      <c r="BP887" s="40"/>
      <c r="BQ887" s="5"/>
      <c r="BS887" s="40"/>
      <c r="BT887" s="5"/>
      <c r="BV887" s="40"/>
      <c r="BW887" s="5"/>
      <c r="BY887" s="40"/>
      <c r="BZ887" s="5"/>
      <c r="CB887" s="40"/>
      <c r="CC887" s="5"/>
      <c r="CE887" s="40"/>
      <c r="CF887" s="5"/>
      <c r="CH887" s="40"/>
      <c r="CI887" s="5"/>
      <c r="CK887" s="40"/>
      <c r="CL887" s="5"/>
      <c r="CN887" s="40"/>
      <c r="CO887" s="5"/>
      <c r="CQ887" s="40"/>
      <c r="CR887" s="5"/>
    </row>
    <row r="888">
      <c r="AO888" s="40"/>
      <c r="AP888" s="5"/>
      <c r="AR888" s="40"/>
      <c r="AS888" s="5"/>
      <c r="AU888" s="40"/>
      <c r="AV888" s="5"/>
      <c r="AX888" s="40"/>
      <c r="AY888" s="5"/>
      <c r="BA888" s="40"/>
      <c r="BB888" s="5"/>
      <c r="BD888" s="40"/>
      <c r="BE888" s="5"/>
      <c r="BG888" s="40"/>
      <c r="BH888" s="5"/>
      <c r="BJ888" s="40"/>
      <c r="BK888" s="5"/>
      <c r="BM888" s="40"/>
      <c r="BN888" s="5"/>
      <c r="BP888" s="40"/>
      <c r="BQ888" s="5"/>
      <c r="BS888" s="40"/>
      <c r="BT888" s="5"/>
      <c r="BV888" s="40"/>
      <c r="BW888" s="5"/>
      <c r="BY888" s="40"/>
      <c r="BZ888" s="5"/>
      <c r="CB888" s="40"/>
      <c r="CC888" s="5"/>
      <c r="CE888" s="40"/>
      <c r="CF888" s="5"/>
      <c r="CH888" s="40"/>
      <c r="CI888" s="5"/>
      <c r="CK888" s="40"/>
      <c r="CL888" s="5"/>
      <c r="CN888" s="40"/>
      <c r="CO888" s="5"/>
      <c r="CQ888" s="40"/>
      <c r="CR888" s="5"/>
    </row>
    <row r="889">
      <c r="AO889" s="40"/>
      <c r="AP889" s="5"/>
      <c r="AR889" s="40"/>
      <c r="AS889" s="5"/>
      <c r="AU889" s="40"/>
      <c r="AV889" s="5"/>
      <c r="AX889" s="40"/>
      <c r="AY889" s="5"/>
      <c r="BA889" s="40"/>
      <c r="BB889" s="5"/>
      <c r="BD889" s="40"/>
      <c r="BE889" s="5"/>
      <c r="BG889" s="40"/>
      <c r="BH889" s="5"/>
      <c r="BJ889" s="40"/>
      <c r="BK889" s="5"/>
      <c r="BM889" s="40"/>
      <c r="BN889" s="5"/>
      <c r="BP889" s="40"/>
      <c r="BQ889" s="5"/>
      <c r="BS889" s="40"/>
      <c r="BT889" s="5"/>
      <c r="BV889" s="40"/>
      <c r="BW889" s="5"/>
      <c r="BY889" s="40"/>
      <c r="BZ889" s="5"/>
      <c r="CB889" s="40"/>
      <c r="CC889" s="5"/>
      <c r="CE889" s="40"/>
      <c r="CF889" s="5"/>
      <c r="CH889" s="40"/>
      <c r="CI889" s="5"/>
      <c r="CK889" s="40"/>
      <c r="CL889" s="5"/>
      <c r="CN889" s="40"/>
      <c r="CO889" s="5"/>
      <c r="CQ889" s="40"/>
      <c r="CR889" s="5"/>
    </row>
    <row r="890">
      <c r="AO890" s="40"/>
      <c r="AP890" s="5"/>
      <c r="AR890" s="40"/>
      <c r="AS890" s="5"/>
      <c r="AU890" s="40"/>
      <c r="AV890" s="5"/>
      <c r="AX890" s="40"/>
      <c r="AY890" s="5"/>
      <c r="BA890" s="40"/>
      <c r="BB890" s="5"/>
      <c r="BD890" s="40"/>
      <c r="BE890" s="5"/>
      <c r="BG890" s="40"/>
      <c r="BH890" s="5"/>
      <c r="BJ890" s="40"/>
      <c r="BK890" s="5"/>
      <c r="BM890" s="40"/>
      <c r="BN890" s="5"/>
      <c r="BP890" s="40"/>
      <c r="BQ890" s="5"/>
      <c r="BS890" s="40"/>
      <c r="BT890" s="5"/>
      <c r="BV890" s="40"/>
      <c r="BW890" s="5"/>
      <c r="BY890" s="40"/>
      <c r="BZ890" s="5"/>
      <c r="CB890" s="40"/>
      <c r="CC890" s="5"/>
      <c r="CE890" s="40"/>
      <c r="CF890" s="5"/>
      <c r="CH890" s="40"/>
      <c r="CI890" s="5"/>
      <c r="CK890" s="40"/>
      <c r="CL890" s="5"/>
      <c r="CN890" s="40"/>
      <c r="CO890" s="5"/>
      <c r="CQ890" s="40"/>
      <c r="CR890" s="5"/>
    </row>
    <row r="891">
      <c r="AO891" s="40"/>
      <c r="AP891" s="5"/>
      <c r="AR891" s="40"/>
      <c r="AS891" s="5"/>
      <c r="AU891" s="40"/>
      <c r="AV891" s="5"/>
      <c r="AX891" s="40"/>
      <c r="AY891" s="5"/>
      <c r="BA891" s="40"/>
      <c r="BB891" s="5"/>
      <c r="BD891" s="40"/>
      <c r="BE891" s="5"/>
      <c r="BG891" s="40"/>
      <c r="BH891" s="5"/>
      <c r="BJ891" s="40"/>
      <c r="BK891" s="5"/>
      <c r="BM891" s="40"/>
      <c r="BN891" s="5"/>
      <c r="BP891" s="40"/>
      <c r="BQ891" s="5"/>
      <c r="BS891" s="40"/>
      <c r="BT891" s="5"/>
      <c r="BV891" s="40"/>
      <c r="BW891" s="5"/>
      <c r="BY891" s="40"/>
      <c r="BZ891" s="5"/>
      <c r="CB891" s="40"/>
      <c r="CC891" s="5"/>
      <c r="CE891" s="40"/>
      <c r="CF891" s="5"/>
      <c r="CH891" s="40"/>
      <c r="CI891" s="5"/>
      <c r="CK891" s="40"/>
      <c r="CL891" s="5"/>
      <c r="CN891" s="40"/>
      <c r="CO891" s="5"/>
      <c r="CQ891" s="40"/>
      <c r="CR891" s="5"/>
    </row>
    <row r="892">
      <c r="AO892" s="40"/>
      <c r="AP892" s="5"/>
      <c r="AR892" s="40"/>
      <c r="AS892" s="5"/>
      <c r="AU892" s="40"/>
      <c r="AV892" s="5"/>
      <c r="AX892" s="40"/>
      <c r="AY892" s="5"/>
      <c r="BA892" s="40"/>
      <c r="BB892" s="5"/>
      <c r="BD892" s="40"/>
      <c r="BE892" s="5"/>
      <c r="BG892" s="40"/>
      <c r="BH892" s="5"/>
      <c r="BJ892" s="40"/>
      <c r="BK892" s="5"/>
      <c r="BM892" s="40"/>
      <c r="BN892" s="5"/>
      <c r="BP892" s="40"/>
      <c r="BQ892" s="5"/>
      <c r="BS892" s="40"/>
      <c r="BT892" s="5"/>
      <c r="BV892" s="40"/>
      <c r="BW892" s="5"/>
      <c r="BY892" s="40"/>
      <c r="BZ892" s="5"/>
      <c r="CB892" s="40"/>
      <c r="CC892" s="5"/>
      <c r="CE892" s="40"/>
      <c r="CF892" s="5"/>
      <c r="CH892" s="40"/>
      <c r="CI892" s="5"/>
      <c r="CK892" s="40"/>
      <c r="CL892" s="5"/>
      <c r="CN892" s="40"/>
      <c r="CO892" s="5"/>
      <c r="CQ892" s="40"/>
      <c r="CR892" s="5"/>
    </row>
    <row r="893">
      <c r="AO893" s="40"/>
      <c r="AP893" s="5"/>
      <c r="AR893" s="40"/>
      <c r="AS893" s="5"/>
      <c r="AU893" s="40"/>
      <c r="AV893" s="5"/>
      <c r="AX893" s="40"/>
      <c r="AY893" s="5"/>
      <c r="BA893" s="40"/>
      <c r="BB893" s="5"/>
      <c r="BD893" s="40"/>
      <c r="BE893" s="5"/>
      <c r="BG893" s="40"/>
      <c r="BH893" s="5"/>
      <c r="BJ893" s="40"/>
      <c r="BK893" s="5"/>
      <c r="BM893" s="40"/>
      <c r="BN893" s="5"/>
      <c r="BP893" s="40"/>
      <c r="BQ893" s="5"/>
      <c r="BS893" s="40"/>
      <c r="BT893" s="5"/>
      <c r="BV893" s="40"/>
      <c r="BW893" s="5"/>
      <c r="BY893" s="40"/>
      <c r="BZ893" s="5"/>
      <c r="CB893" s="40"/>
      <c r="CC893" s="5"/>
      <c r="CE893" s="40"/>
      <c r="CF893" s="5"/>
      <c r="CH893" s="40"/>
      <c r="CI893" s="5"/>
      <c r="CK893" s="40"/>
      <c r="CL893" s="5"/>
      <c r="CN893" s="40"/>
      <c r="CO893" s="5"/>
      <c r="CQ893" s="40"/>
      <c r="CR893" s="5"/>
    </row>
    <row r="894">
      <c r="AO894" s="40"/>
      <c r="AP894" s="5"/>
      <c r="AR894" s="40"/>
      <c r="AS894" s="5"/>
      <c r="AU894" s="40"/>
      <c r="AV894" s="5"/>
      <c r="AX894" s="40"/>
      <c r="AY894" s="5"/>
      <c r="BA894" s="40"/>
      <c r="BB894" s="5"/>
      <c r="BD894" s="40"/>
      <c r="BE894" s="5"/>
      <c r="BG894" s="40"/>
      <c r="BH894" s="5"/>
      <c r="BJ894" s="40"/>
      <c r="BK894" s="5"/>
      <c r="BM894" s="40"/>
      <c r="BN894" s="5"/>
      <c r="BP894" s="40"/>
      <c r="BQ894" s="5"/>
      <c r="BS894" s="40"/>
      <c r="BT894" s="5"/>
      <c r="BV894" s="40"/>
      <c r="BW894" s="5"/>
      <c r="BY894" s="40"/>
      <c r="BZ894" s="5"/>
      <c r="CB894" s="40"/>
      <c r="CC894" s="5"/>
      <c r="CE894" s="40"/>
      <c r="CF894" s="5"/>
      <c r="CH894" s="40"/>
      <c r="CI894" s="5"/>
      <c r="CK894" s="40"/>
      <c r="CL894" s="5"/>
      <c r="CN894" s="40"/>
      <c r="CO894" s="5"/>
      <c r="CQ894" s="40"/>
      <c r="CR894" s="5"/>
    </row>
    <row r="895">
      <c r="AO895" s="40"/>
      <c r="AP895" s="5"/>
      <c r="AR895" s="40"/>
      <c r="AS895" s="5"/>
      <c r="AU895" s="40"/>
      <c r="AV895" s="5"/>
      <c r="AX895" s="40"/>
      <c r="AY895" s="5"/>
      <c r="BA895" s="40"/>
      <c r="BB895" s="5"/>
      <c r="BD895" s="40"/>
      <c r="BE895" s="5"/>
      <c r="BG895" s="40"/>
      <c r="BH895" s="5"/>
      <c r="BJ895" s="40"/>
      <c r="BK895" s="5"/>
      <c r="BM895" s="40"/>
      <c r="BN895" s="5"/>
      <c r="BP895" s="40"/>
      <c r="BQ895" s="5"/>
      <c r="BS895" s="40"/>
      <c r="BT895" s="5"/>
      <c r="BV895" s="40"/>
      <c r="BW895" s="5"/>
      <c r="BY895" s="40"/>
      <c r="BZ895" s="5"/>
      <c r="CB895" s="40"/>
      <c r="CC895" s="5"/>
      <c r="CE895" s="40"/>
      <c r="CF895" s="5"/>
      <c r="CH895" s="40"/>
      <c r="CI895" s="5"/>
      <c r="CK895" s="40"/>
      <c r="CL895" s="5"/>
      <c r="CN895" s="40"/>
      <c r="CO895" s="5"/>
      <c r="CQ895" s="40"/>
      <c r="CR895" s="5"/>
    </row>
    <row r="896">
      <c r="AO896" s="40"/>
      <c r="AP896" s="5"/>
      <c r="AR896" s="40"/>
      <c r="AS896" s="5"/>
      <c r="AU896" s="40"/>
      <c r="AV896" s="5"/>
      <c r="AX896" s="40"/>
      <c r="AY896" s="5"/>
      <c r="BA896" s="40"/>
      <c r="BB896" s="5"/>
      <c r="BD896" s="40"/>
      <c r="BE896" s="5"/>
      <c r="BG896" s="40"/>
      <c r="BH896" s="5"/>
      <c r="BJ896" s="40"/>
      <c r="BK896" s="5"/>
      <c r="BM896" s="40"/>
      <c r="BN896" s="5"/>
      <c r="BP896" s="40"/>
      <c r="BQ896" s="5"/>
      <c r="BS896" s="40"/>
      <c r="BT896" s="5"/>
      <c r="BV896" s="40"/>
      <c r="BW896" s="5"/>
      <c r="BY896" s="40"/>
      <c r="BZ896" s="5"/>
      <c r="CB896" s="40"/>
      <c r="CC896" s="5"/>
      <c r="CE896" s="40"/>
      <c r="CF896" s="5"/>
      <c r="CH896" s="40"/>
      <c r="CI896" s="5"/>
      <c r="CK896" s="40"/>
      <c r="CL896" s="5"/>
      <c r="CN896" s="40"/>
      <c r="CO896" s="5"/>
      <c r="CQ896" s="40"/>
      <c r="CR896" s="5"/>
    </row>
    <row r="897">
      <c r="AO897" s="40"/>
      <c r="AP897" s="5"/>
      <c r="AR897" s="40"/>
      <c r="AS897" s="5"/>
      <c r="AU897" s="40"/>
      <c r="AV897" s="5"/>
      <c r="AX897" s="40"/>
      <c r="AY897" s="5"/>
      <c r="BA897" s="40"/>
      <c r="BB897" s="5"/>
      <c r="BD897" s="40"/>
      <c r="BE897" s="5"/>
      <c r="BG897" s="40"/>
      <c r="BH897" s="5"/>
      <c r="BJ897" s="40"/>
      <c r="BK897" s="5"/>
      <c r="BM897" s="40"/>
      <c r="BN897" s="5"/>
      <c r="BP897" s="40"/>
      <c r="BQ897" s="5"/>
      <c r="BS897" s="40"/>
      <c r="BT897" s="5"/>
      <c r="BV897" s="40"/>
      <c r="BW897" s="5"/>
      <c r="BY897" s="40"/>
      <c r="BZ897" s="5"/>
      <c r="CB897" s="40"/>
      <c r="CC897" s="5"/>
      <c r="CE897" s="40"/>
      <c r="CF897" s="5"/>
      <c r="CH897" s="40"/>
      <c r="CI897" s="5"/>
      <c r="CK897" s="40"/>
      <c r="CL897" s="5"/>
      <c r="CN897" s="40"/>
      <c r="CO897" s="5"/>
      <c r="CQ897" s="40"/>
      <c r="CR897" s="5"/>
    </row>
    <row r="898">
      <c r="AO898" s="40"/>
      <c r="AP898" s="5"/>
      <c r="AR898" s="40"/>
      <c r="AS898" s="5"/>
      <c r="AU898" s="40"/>
      <c r="AV898" s="5"/>
      <c r="AX898" s="40"/>
      <c r="AY898" s="5"/>
      <c r="BA898" s="40"/>
      <c r="BB898" s="5"/>
      <c r="BD898" s="40"/>
      <c r="BE898" s="5"/>
      <c r="BG898" s="40"/>
      <c r="BH898" s="5"/>
      <c r="BJ898" s="40"/>
      <c r="BK898" s="5"/>
      <c r="BM898" s="40"/>
      <c r="BN898" s="5"/>
      <c r="BP898" s="40"/>
      <c r="BQ898" s="5"/>
      <c r="BS898" s="40"/>
      <c r="BT898" s="5"/>
      <c r="BV898" s="40"/>
      <c r="BW898" s="5"/>
      <c r="BY898" s="40"/>
      <c r="BZ898" s="5"/>
      <c r="CB898" s="40"/>
      <c r="CC898" s="5"/>
      <c r="CE898" s="40"/>
      <c r="CF898" s="5"/>
      <c r="CH898" s="40"/>
      <c r="CI898" s="5"/>
      <c r="CK898" s="40"/>
      <c r="CL898" s="5"/>
      <c r="CN898" s="40"/>
      <c r="CO898" s="5"/>
      <c r="CQ898" s="40"/>
      <c r="CR898" s="5"/>
    </row>
    <row r="899">
      <c r="AO899" s="40"/>
      <c r="AP899" s="5"/>
      <c r="AR899" s="40"/>
      <c r="AS899" s="5"/>
      <c r="AU899" s="40"/>
      <c r="AV899" s="5"/>
      <c r="AX899" s="40"/>
      <c r="AY899" s="5"/>
      <c r="BA899" s="40"/>
      <c r="BB899" s="5"/>
      <c r="BD899" s="40"/>
      <c r="BE899" s="5"/>
      <c r="BG899" s="40"/>
      <c r="BH899" s="5"/>
      <c r="BJ899" s="40"/>
      <c r="BK899" s="5"/>
      <c r="BM899" s="40"/>
      <c r="BN899" s="5"/>
      <c r="BP899" s="40"/>
      <c r="BQ899" s="5"/>
      <c r="BS899" s="40"/>
      <c r="BT899" s="5"/>
      <c r="BV899" s="40"/>
      <c r="BW899" s="5"/>
      <c r="BY899" s="40"/>
      <c r="BZ899" s="5"/>
      <c r="CB899" s="40"/>
      <c r="CC899" s="5"/>
      <c r="CE899" s="40"/>
      <c r="CF899" s="5"/>
      <c r="CH899" s="40"/>
      <c r="CI899" s="5"/>
      <c r="CK899" s="40"/>
      <c r="CL899" s="5"/>
      <c r="CN899" s="40"/>
      <c r="CO899" s="5"/>
      <c r="CQ899" s="40"/>
      <c r="CR899" s="5"/>
    </row>
    <row r="900">
      <c r="AO900" s="40"/>
      <c r="AP900" s="5"/>
      <c r="AR900" s="40"/>
      <c r="AS900" s="5"/>
      <c r="AU900" s="40"/>
      <c r="AV900" s="5"/>
      <c r="AX900" s="40"/>
      <c r="AY900" s="5"/>
      <c r="BA900" s="40"/>
      <c r="BB900" s="5"/>
      <c r="BD900" s="40"/>
      <c r="BE900" s="5"/>
      <c r="BG900" s="40"/>
      <c r="BH900" s="5"/>
      <c r="BJ900" s="40"/>
      <c r="BK900" s="5"/>
      <c r="BM900" s="40"/>
      <c r="BN900" s="5"/>
      <c r="BP900" s="40"/>
      <c r="BQ900" s="5"/>
      <c r="BS900" s="40"/>
      <c r="BT900" s="5"/>
      <c r="BV900" s="40"/>
      <c r="BW900" s="5"/>
      <c r="BY900" s="40"/>
      <c r="BZ900" s="5"/>
      <c r="CB900" s="40"/>
      <c r="CC900" s="5"/>
      <c r="CE900" s="40"/>
      <c r="CF900" s="5"/>
      <c r="CH900" s="40"/>
      <c r="CI900" s="5"/>
      <c r="CK900" s="40"/>
      <c r="CL900" s="5"/>
      <c r="CN900" s="40"/>
      <c r="CO900" s="5"/>
      <c r="CQ900" s="40"/>
      <c r="CR900" s="5"/>
    </row>
    <row r="901">
      <c r="AO901" s="40"/>
      <c r="AP901" s="5"/>
      <c r="AR901" s="40"/>
      <c r="AS901" s="5"/>
      <c r="AU901" s="40"/>
      <c r="AV901" s="5"/>
      <c r="AX901" s="40"/>
      <c r="AY901" s="5"/>
      <c r="BA901" s="40"/>
      <c r="BB901" s="5"/>
      <c r="BD901" s="40"/>
      <c r="BE901" s="5"/>
      <c r="BG901" s="40"/>
      <c r="BH901" s="5"/>
      <c r="BJ901" s="40"/>
      <c r="BK901" s="5"/>
      <c r="BM901" s="40"/>
      <c r="BN901" s="5"/>
      <c r="BP901" s="40"/>
      <c r="BQ901" s="5"/>
      <c r="BS901" s="40"/>
      <c r="BT901" s="5"/>
      <c r="BV901" s="40"/>
      <c r="BW901" s="5"/>
      <c r="BY901" s="40"/>
      <c r="BZ901" s="5"/>
      <c r="CB901" s="40"/>
      <c r="CC901" s="5"/>
      <c r="CE901" s="40"/>
      <c r="CF901" s="5"/>
      <c r="CH901" s="40"/>
      <c r="CI901" s="5"/>
      <c r="CK901" s="40"/>
      <c r="CL901" s="5"/>
      <c r="CN901" s="40"/>
      <c r="CO901" s="5"/>
      <c r="CQ901" s="40"/>
      <c r="CR901" s="5"/>
    </row>
    <row r="902">
      <c r="AO902" s="40"/>
      <c r="AP902" s="5"/>
      <c r="AR902" s="40"/>
      <c r="AS902" s="5"/>
      <c r="AU902" s="40"/>
      <c r="AV902" s="5"/>
      <c r="AX902" s="40"/>
      <c r="AY902" s="5"/>
      <c r="BA902" s="40"/>
      <c r="BB902" s="5"/>
      <c r="BD902" s="40"/>
      <c r="BE902" s="5"/>
      <c r="BG902" s="40"/>
      <c r="BH902" s="5"/>
      <c r="BJ902" s="40"/>
      <c r="BK902" s="5"/>
      <c r="BM902" s="40"/>
      <c r="BN902" s="5"/>
      <c r="BP902" s="40"/>
      <c r="BQ902" s="5"/>
      <c r="BS902" s="40"/>
      <c r="BT902" s="5"/>
      <c r="BV902" s="40"/>
      <c r="BW902" s="5"/>
      <c r="BY902" s="40"/>
      <c r="BZ902" s="5"/>
      <c r="CB902" s="40"/>
      <c r="CC902" s="5"/>
      <c r="CE902" s="40"/>
      <c r="CF902" s="5"/>
      <c r="CH902" s="40"/>
      <c r="CI902" s="5"/>
      <c r="CK902" s="40"/>
      <c r="CL902" s="5"/>
      <c r="CN902" s="40"/>
      <c r="CO902" s="5"/>
      <c r="CQ902" s="40"/>
      <c r="CR902"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hyperlinks>
    <hyperlink r:id="rId1" ref="B1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44">
        <v>0.0</v>
      </c>
      <c r="B2" s="44">
        <v>1.593104932E9</v>
      </c>
      <c r="C2" s="40">
        <f>IFERROR(__xludf.DUMMYFUNCTION("INDEX(SPLIT(B2, char(10)), 0, 1)/86400+date(1970,1,1)"),44007.71449074074)</f>
        <v>44007.71449</v>
      </c>
      <c r="D2" s="44" t="s">
        <v>93</v>
      </c>
      <c r="E2" s="44" t="s">
        <v>290</v>
      </c>
      <c r="F2" s="44" t="s">
        <v>561</v>
      </c>
    </row>
    <row r="3">
      <c r="A3" s="44">
        <v>0.0</v>
      </c>
      <c r="B3" s="44">
        <v>1.593104935E9</v>
      </c>
      <c r="C3" s="40">
        <f>IFERROR(__xludf.DUMMYFUNCTION("INDEX(SPLIT(B3, char(10)), 0, 1)/86400+date(1970,1,1)"),44007.71452546296)</f>
        <v>44007.71453</v>
      </c>
      <c r="D3" s="44" t="s">
        <v>103</v>
      </c>
      <c r="E3" s="44" t="s">
        <v>562</v>
      </c>
      <c r="F3" s="44" t="s">
        <v>563</v>
      </c>
    </row>
    <row r="4">
      <c r="A4" s="44">
        <v>1.0</v>
      </c>
      <c r="B4" s="44">
        <v>1.593105059E9</v>
      </c>
      <c r="C4" s="40">
        <f>IFERROR(__xludf.DUMMYFUNCTION("INDEX(SPLIT(B4, char(10)), 0, 1)/86400+date(1970,1,1)"),44007.715960648144)</f>
        <v>44007.71596</v>
      </c>
      <c r="D4" s="44" t="s">
        <v>103</v>
      </c>
      <c r="E4" s="44" t="s">
        <v>564</v>
      </c>
      <c r="F4" s="44" t="s">
        <v>565</v>
      </c>
    </row>
    <row r="5">
      <c r="A5" s="44">
        <v>1.0</v>
      </c>
      <c r="B5" s="44">
        <v>1.593105071E9</v>
      </c>
      <c r="C5" s="40">
        <f>IFERROR(__xludf.DUMMYFUNCTION("INDEX(SPLIT(B5, char(10)), 0, 1)/86400+date(1970,1,1)"),44007.716099537036)</f>
        <v>44007.7161</v>
      </c>
      <c r="D5" s="44" t="s">
        <v>93</v>
      </c>
      <c r="E5" s="44" t="s">
        <v>566</v>
      </c>
      <c r="F5" s="44" t="s">
        <v>567</v>
      </c>
    </row>
    <row r="6">
      <c r="A6" s="44">
        <v>1.0</v>
      </c>
      <c r="B6" s="44">
        <v>1.593105121E9</v>
      </c>
      <c r="C6" s="40">
        <f>IFERROR(__xludf.DUMMYFUNCTION("INDEX(SPLIT(B6, char(10)), 0, 1)/86400+date(1970,1,1)"),44007.716678240744)</f>
        <v>44007.71668</v>
      </c>
      <c r="D6" s="44" t="s">
        <v>124</v>
      </c>
      <c r="E6" s="44" t="s">
        <v>568</v>
      </c>
      <c r="F6" s="44" t="s">
        <v>569</v>
      </c>
    </row>
    <row r="7">
      <c r="A7" s="44">
        <v>1.0</v>
      </c>
      <c r="B7" s="44">
        <v>1.593105127E9</v>
      </c>
      <c r="C7" s="40">
        <f>IFERROR(__xludf.DUMMYFUNCTION("INDEX(SPLIT(B7, char(10)), 0, 1)/86400+date(1970,1,1)"),44007.71674768519)</f>
        <v>44007.71675</v>
      </c>
      <c r="D7" s="44" t="s">
        <v>128</v>
      </c>
      <c r="E7" s="44" t="s">
        <v>570</v>
      </c>
      <c r="F7" s="44" t="s">
        <v>571</v>
      </c>
    </row>
    <row r="8">
      <c r="A8" s="44">
        <v>1.0</v>
      </c>
      <c r="B8" s="44">
        <v>1.593105134E9</v>
      </c>
      <c r="C8" s="40">
        <f>IFERROR(__xludf.DUMMYFUNCTION("INDEX(SPLIT(B8, char(10)), 0, 1)/86400+date(1970,1,1)"),44007.716828703706)</f>
        <v>44007.71683</v>
      </c>
      <c r="D8" s="44" t="s">
        <v>90</v>
      </c>
      <c r="E8" s="44" t="s">
        <v>568</v>
      </c>
      <c r="F8" s="44" t="s">
        <v>572</v>
      </c>
    </row>
    <row r="9">
      <c r="A9" s="44">
        <v>2.0</v>
      </c>
      <c r="B9" s="44">
        <v>1.59310516E9</v>
      </c>
      <c r="C9" s="40">
        <f>IFERROR(__xludf.DUMMYFUNCTION("INDEX(SPLIT(B9, char(10)), 0, 1)/86400+date(1970,1,1)"),44007.71712962963)</f>
        <v>44007.71713</v>
      </c>
      <c r="D9" s="44" t="s">
        <v>81</v>
      </c>
      <c r="E9" s="44" t="s">
        <v>573</v>
      </c>
      <c r="F9" s="44" t="s">
        <v>574</v>
      </c>
    </row>
    <row r="10">
      <c r="A10" s="44">
        <v>3.0</v>
      </c>
      <c r="B10" s="44">
        <v>1.59310533E9</v>
      </c>
      <c r="C10" s="40">
        <f>IFERROR(__xludf.DUMMYFUNCTION("INDEX(SPLIT(B10, char(10)), 0, 1)/86400+date(1970,1,1)"),44007.71909722222)</f>
        <v>44007.7191</v>
      </c>
      <c r="D10" s="44" t="s">
        <v>90</v>
      </c>
      <c r="E10" s="44" t="s">
        <v>575</v>
      </c>
      <c r="F10" s="44" t="s">
        <v>576</v>
      </c>
    </row>
    <row r="11">
      <c r="A11" s="44">
        <v>3.0</v>
      </c>
      <c r="B11" s="44">
        <v>1.593105343E9</v>
      </c>
      <c r="C11" s="40">
        <f>IFERROR(__xludf.DUMMYFUNCTION("INDEX(SPLIT(B11, char(10)), 0, 1)/86400+date(1970,1,1)"),44007.719247685185)</f>
        <v>44007.71925</v>
      </c>
      <c r="D11" s="44" t="s">
        <v>81</v>
      </c>
      <c r="E11" s="44" t="s">
        <v>577</v>
      </c>
      <c r="F11" s="44" t="s">
        <v>578</v>
      </c>
    </row>
    <row r="12">
      <c r="A12" s="44">
        <v>4.0</v>
      </c>
      <c r="B12" s="44">
        <v>1.593105535E9</v>
      </c>
      <c r="C12" s="40">
        <f>IFERROR(__xludf.DUMMYFUNCTION("INDEX(SPLIT(B12, char(10)), 0, 1)/86400+date(1970,1,1)"),44007.72146990741)</f>
        <v>44007.72147</v>
      </c>
      <c r="D12" s="44" t="s">
        <v>90</v>
      </c>
      <c r="E12" s="44" t="s">
        <v>112</v>
      </c>
      <c r="F12" s="44" t="s">
        <v>579</v>
      </c>
    </row>
    <row r="13">
      <c r="A13" s="44">
        <v>4.0</v>
      </c>
      <c r="B13" s="44">
        <v>1.593105557E9</v>
      </c>
      <c r="C13" s="40">
        <f>IFERROR(__xludf.DUMMYFUNCTION("INDEX(SPLIT(B13, char(10)), 0, 1)/86400+date(1970,1,1)"),44007.72172453704)</f>
        <v>44007.72172</v>
      </c>
      <c r="D13" s="44" t="s">
        <v>103</v>
      </c>
      <c r="E13" s="44" t="s">
        <v>198</v>
      </c>
      <c r="F13" s="44" t="s">
        <v>580</v>
      </c>
    </row>
    <row r="14">
      <c r="A14" s="44">
        <v>5.0</v>
      </c>
      <c r="B14" s="44">
        <v>1.593105643E9</v>
      </c>
      <c r="C14" s="40">
        <f>IFERROR(__xludf.DUMMYFUNCTION("INDEX(SPLIT(B14, char(10)), 0, 1)/86400+date(1970,1,1)"),44007.72271990741)</f>
        <v>44007.72272</v>
      </c>
      <c r="D14" s="44" t="s">
        <v>81</v>
      </c>
      <c r="E14" s="44" t="s">
        <v>581</v>
      </c>
      <c r="F14" s="44" t="s">
        <v>582</v>
      </c>
    </row>
    <row r="15">
      <c r="A15" s="44">
        <v>5.0</v>
      </c>
      <c r="B15" s="44">
        <v>1.593105649E9</v>
      </c>
      <c r="C15" s="40">
        <f>IFERROR(__xludf.DUMMYFUNCTION("INDEX(SPLIT(B15, char(10)), 0, 1)/86400+date(1970,1,1)"),44007.72278935185)</f>
        <v>44007.72279</v>
      </c>
      <c r="D15" s="44" t="s">
        <v>96</v>
      </c>
      <c r="E15" s="44" t="s">
        <v>583</v>
      </c>
      <c r="F15" s="44" t="s">
        <v>584</v>
      </c>
    </row>
    <row r="16">
      <c r="A16" s="44">
        <v>5.0</v>
      </c>
      <c r="B16" s="44">
        <v>1.593105657E9</v>
      </c>
      <c r="C16" s="40">
        <f>IFERROR(__xludf.DUMMYFUNCTION("INDEX(SPLIT(B16, char(10)), 0, 1)/86400+date(1970,1,1)"),44007.72288194444)</f>
        <v>44007.72288</v>
      </c>
      <c r="D16" s="44" t="s">
        <v>174</v>
      </c>
      <c r="E16" s="44" t="s">
        <v>585</v>
      </c>
      <c r="F16" s="44" t="s">
        <v>586</v>
      </c>
    </row>
    <row r="17">
      <c r="A17" s="44">
        <v>5.0</v>
      </c>
      <c r="B17" s="44">
        <v>1.593105662E9</v>
      </c>
      <c r="C17" s="40">
        <f>IFERROR(__xludf.DUMMYFUNCTION("INDEX(SPLIT(B17, char(10)), 0, 1)/86400+date(1970,1,1)"),44007.72293981482)</f>
        <v>44007.72294</v>
      </c>
      <c r="D17" s="44" t="s">
        <v>131</v>
      </c>
      <c r="E17" s="44" t="s">
        <v>587</v>
      </c>
      <c r="F17" s="44" t="s">
        <v>588</v>
      </c>
    </row>
    <row r="18">
      <c r="A18" s="44">
        <v>5.0</v>
      </c>
      <c r="B18" s="44">
        <v>1.593105677E9</v>
      </c>
      <c r="C18" s="40">
        <f>IFERROR(__xludf.DUMMYFUNCTION("INDEX(SPLIT(B18, char(10)), 0, 1)/86400+date(1970,1,1)"),44007.72311342593)</f>
        <v>44007.72311</v>
      </c>
      <c r="D18" s="44" t="s">
        <v>103</v>
      </c>
      <c r="E18" s="44" t="s">
        <v>589</v>
      </c>
      <c r="F18" s="44" t="s">
        <v>590</v>
      </c>
    </row>
    <row r="19">
      <c r="A19" s="44">
        <v>5.0</v>
      </c>
      <c r="B19" s="44">
        <v>1.593105706E9</v>
      </c>
      <c r="C19" s="40">
        <f>IFERROR(__xludf.DUMMYFUNCTION("INDEX(SPLIT(B19, char(10)), 0, 1)/86400+date(1970,1,1)"),44007.723449074074)</f>
        <v>44007.72345</v>
      </c>
      <c r="D19" s="44" t="s">
        <v>136</v>
      </c>
      <c r="E19" s="44" t="s">
        <v>591</v>
      </c>
      <c r="F19" s="44" t="s">
        <v>592</v>
      </c>
    </row>
    <row r="20">
      <c r="A20" s="44">
        <v>5.0</v>
      </c>
      <c r="B20" s="44">
        <v>1.593105719E9</v>
      </c>
      <c r="C20" s="40">
        <f>IFERROR(__xludf.DUMMYFUNCTION("INDEX(SPLIT(B20, char(10)), 0, 1)/86400+date(1970,1,1)"),44007.723599537036)</f>
        <v>44007.7236</v>
      </c>
      <c r="D20" s="44" t="s">
        <v>151</v>
      </c>
      <c r="E20" s="44" t="s">
        <v>593</v>
      </c>
      <c r="F20" s="44" t="s">
        <v>594</v>
      </c>
    </row>
    <row r="21">
      <c r="A21" s="44">
        <v>6.0</v>
      </c>
      <c r="B21" s="44">
        <v>1.593105887E9</v>
      </c>
      <c r="C21" s="40">
        <f>IFERROR(__xludf.DUMMYFUNCTION("INDEX(SPLIT(B21, char(10)), 0, 1)/86400+date(1970,1,1)"),44007.725543981476)</f>
        <v>44007.72554</v>
      </c>
      <c r="D21" s="44" t="s">
        <v>96</v>
      </c>
      <c r="E21" s="44" t="s">
        <v>595</v>
      </c>
      <c r="F21" s="44" t="s">
        <v>596</v>
      </c>
    </row>
    <row r="22">
      <c r="A22" s="44">
        <v>6.0</v>
      </c>
      <c r="B22" s="44">
        <v>1.593105908E9</v>
      </c>
      <c r="C22" s="40">
        <f>IFERROR(__xludf.DUMMYFUNCTION("INDEX(SPLIT(B22, char(10)), 0, 1)/86400+date(1970,1,1)"),44007.72578703704)</f>
        <v>44007.72579</v>
      </c>
      <c r="D22" s="44" t="s">
        <v>81</v>
      </c>
      <c r="E22" s="44" t="s">
        <v>597</v>
      </c>
      <c r="F22" s="44" t="s">
        <v>598</v>
      </c>
    </row>
    <row r="23">
      <c r="A23" s="44">
        <v>6.0</v>
      </c>
      <c r="B23" s="44">
        <v>1.59310591E9</v>
      </c>
      <c r="C23" s="40">
        <f>IFERROR(__xludf.DUMMYFUNCTION("INDEX(SPLIT(B23, char(10)), 0, 1)/86400+date(1970,1,1)"),44007.725810185184)</f>
        <v>44007.72581</v>
      </c>
      <c r="D23" s="44" t="s">
        <v>90</v>
      </c>
      <c r="E23" s="44" t="s">
        <v>599</v>
      </c>
      <c r="F23" s="44" t="s">
        <v>600</v>
      </c>
    </row>
    <row r="24">
      <c r="A24" s="44">
        <v>6.0</v>
      </c>
      <c r="B24" s="44">
        <v>1.593105926E9</v>
      </c>
      <c r="C24" s="40">
        <f>IFERROR(__xludf.DUMMYFUNCTION("INDEX(SPLIT(B24, char(10)), 0, 1)/86400+date(1970,1,1)"),44007.72599537037)</f>
        <v>44007.726</v>
      </c>
      <c r="D24" s="44" t="s">
        <v>103</v>
      </c>
      <c r="E24" s="44" t="s">
        <v>595</v>
      </c>
      <c r="F24" s="44" t="s">
        <v>601</v>
      </c>
    </row>
    <row r="25">
      <c r="A25" s="44">
        <v>7.0</v>
      </c>
      <c r="B25" s="44">
        <v>1.593105998E9</v>
      </c>
      <c r="C25" s="40">
        <f>IFERROR(__xludf.DUMMYFUNCTION("INDEX(SPLIT(B25, char(10)), 0, 1)/86400+date(1970,1,1)"),44007.7268287037)</f>
        <v>44007.72683</v>
      </c>
      <c r="D25" s="44" t="s">
        <v>81</v>
      </c>
      <c r="E25" s="44" t="s">
        <v>602</v>
      </c>
      <c r="F25" s="44" t="s">
        <v>603</v>
      </c>
    </row>
    <row r="26">
      <c r="A26" s="44">
        <v>8.0</v>
      </c>
      <c r="B26" s="44">
        <v>1.593106091E9</v>
      </c>
      <c r="C26" s="40">
        <f>IFERROR(__xludf.DUMMYFUNCTION("INDEX(SPLIT(B26, char(10)), 0, 1)/86400+date(1970,1,1)"),44007.72790509259)</f>
        <v>44007.72791</v>
      </c>
      <c r="D26" s="44" t="s">
        <v>103</v>
      </c>
      <c r="E26" s="44" t="s">
        <v>162</v>
      </c>
      <c r="F26" s="44" t="s">
        <v>604</v>
      </c>
    </row>
    <row r="27">
      <c r="A27" s="44">
        <v>9.0</v>
      </c>
      <c r="B27" s="44">
        <v>1.593106248E9</v>
      </c>
      <c r="C27" s="40">
        <f>IFERROR(__xludf.DUMMYFUNCTION("INDEX(SPLIT(B27, char(10)), 0, 1)/86400+date(1970,1,1)"),44007.729722222226)</f>
        <v>44007.72972</v>
      </c>
      <c r="D27" s="44" t="s">
        <v>81</v>
      </c>
      <c r="E27" s="44" t="s">
        <v>605</v>
      </c>
      <c r="F27" s="44" t="s">
        <v>606</v>
      </c>
    </row>
    <row r="28">
      <c r="A28" s="44">
        <v>10.0</v>
      </c>
      <c r="B28" s="44">
        <v>1.593106507E9</v>
      </c>
      <c r="C28" s="40">
        <f>IFERROR(__xludf.DUMMYFUNCTION("INDEX(SPLIT(B28, char(10)), 0, 1)/86400+date(1970,1,1)"),44007.732719907406)</f>
        <v>44007.73272</v>
      </c>
      <c r="D28" s="44" t="s">
        <v>96</v>
      </c>
      <c r="E28" s="44" t="s">
        <v>607</v>
      </c>
      <c r="F28" s="44" t="s">
        <v>608</v>
      </c>
    </row>
    <row r="29">
      <c r="A29" s="44">
        <v>11.0</v>
      </c>
      <c r="B29" s="44">
        <v>1.593106826E9</v>
      </c>
      <c r="C29" s="40">
        <f>IFERROR(__xludf.DUMMYFUNCTION("INDEX(SPLIT(B29, char(10)), 0, 1)/86400+date(1970,1,1)"),44007.73641203703)</f>
        <v>44007.73641</v>
      </c>
      <c r="D29" s="44" t="s">
        <v>81</v>
      </c>
      <c r="E29" s="44" t="s">
        <v>609</v>
      </c>
      <c r="F29" s="44" t="s">
        <v>610</v>
      </c>
    </row>
    <row r="30">
      <c r="A30" s="44">
        <v>12.0</v>
      </c>
      <c r="B30" s="44">
        <v>1.593107122E9</v>
      </c>
      <c r="C30" s="40">
        <f>IFERROR(__xludf.DUMMYFUNCTION("INDEX(SPLIT(B30, char(10)), 0, 1)/86400+date(1970,1,1)"),44007.73983796296)</f>
        <v>44007.73984</v>
      </c>
      <c r="D30" s="44" t="s">
        <v>96</v>
      </c>
      <c r="E30" s="44" t="s">
        <v>160</v>
      </c>
      <c r="F30" s="44" t="s">
        <v>611</v>
      </c>
    </row>
    <row r="31">
      <c r="A31" s="44">
        <v>13.0</v>
      </c>
      <c r="B31" s="44">
        <v>1.593107289E9</v>
      </c>
      <c r="C31" s="40">
        <f>IFERROR(__xludf.DUMMYFUNCTION("INDEX(SPLIT(B31, char(10)), 0, 1)/86400+date(1970,1,1)"),44007.74177083334)</f>
        <v>44007.74177</v>
      </c>
      <c r="D31" s="44" t="s">
        <v>96</v>
      </c>
      <c r="E31" s="44" t="s">
        <v>612</v>
      </c>
      <c r="F31" s="44" t="s">
        <v>613</v>
      </c>
    </row>
    <row r="32">
      <c r="A32" s="44">
        <v>13.0</v>
      </c>
      <c r="B32" s="44">
        <v>1.593107346E9</v>
      </c>
      <c r="C32" s="40">
        <f>IFERROR(__xludf.DUMMYFUNCTION("INDEX(SPLIT(B32, char(10)), 0, 1)/86400+date(1970,1,1)"),44007.742430555554)</f>
        <v>44007.74243</v>
      </c>
      <c r="D32" s="44" t="s">
        <v>136</v>
      </c>
      <c r="E32" s="44" t="s">
        <v>614</v>
      </c>
      <c r="F32" s="44" t="s">
        <v>615</v>
      </c>
    </row>
    <row r="33">
      <c r="A33" s="44">
        <v>13.0</v>
      </c>
      <c r="B33" s="44">
        <v>1.593107374E9</v>
      </c>
      <c r="C33" s="40">
        <f>IFERROR(__xludf.DUMMYFUNCTION("INDEX(SPLIT(B33, char(10)), 0, 1)/86400+date(1970,1,1)"),44007.74275462963)</f>
        <v>44007.74275</v>
      </c>
      <c r="D33" s="44" t="s">
        <v>81</v>
      </c>
      <c r="E33" s="44" t="s">
        <v>616</v>
      </c>
      <c r="F33" s="44" t="s">
        <v>617</v>
      </c>
    </row>
    <row r="34">
      <c r="A34" s="44">
        <v>14.0</v>
      </c>
      <c r="B34" s="44">
        <v>1.593107489E9</v>
      </c>
      <c r="C34" s="40">
        <f>IFERROR(__xludf.DUMMYFUNCTION("INDEX(SPLIT(B34, char(10)), 0, 1)/86400+date(1970,1,1)"),44007.74408564815)</f>
        <v>44007.74409</v>
      </c>
      <c r="D34" s="44" t="s">
        <v>90</v>
      </c>
      <c r="E34" s="44" t="s">
        <v>112</v>
      </c>
      <c r="F34" s="44" t="s">
        <v>618</v>
      </c>
    </row>
    <row r="35">
      <c r="A35" s="44">
        <v>14.0</v>
      </c>
      <c r="B35" s="44">
        <v>1.593107546E9</v>
      </c>
      <c r="C35" s="40">
        <f>IFERROR(__xludf.DUMMYFUNCTION("INDEX(SPLIT(B35, char(10)), 0, 1)/86400+date(1970,1,1)"),44007.74474537037)</f>
        <v>44007.74475</v>
      </c>
      <c r="D35" s="44" t="s">
        <v>103</v>
      </c>
      <c r="E35" s="44" t="s">
        <v>619</v>
      </c>
      <c r="F35" s="44" t="s">
        <v>620</v>
      </c>
    </row>
    <row r="36">
      <c r="A36" s="44">
        <v>15.0</v>
      </c>
      <c r="B36" s="44">
        <v>1.593107662E9</v>
      </c>
      <c r="C36" s="40">
        <f>IFERROR(__xludf.DUMMYFUNCTION("INDEX(SPLIT(B36, char(10)), 0, 1)/86400+date(1970,1,1)"),44007.746087962965)</f>
        <v>44007.74609</v>
      </c>
      <c r="D36" s="44" t="s">
        <v>96</v>
      </c>
      <c r="E36" s="44" t="s">
        <v>621</v>
      </c>
      <c r="F36" s="44" t="s">
        <v>622</v>
      </c>
    </row>
    <row r="37">
      <c r="A37" s="44">
        <v>16.0</v>
      </c>
      <c r="B37" s="44">
        <v>1.593108286E9</v>
      </c>
      <c r="C37" s="40">
        <f>IFERROR(__xludf.DUMMYFUNCTION("INDEX(SPLIT(B37, char(10)), 0, 1)/86400+date(1970,1,1)"),44007.75331018519)</f>
        <v>44007.75331</v>
      </c>
      <c r="D37" s="44" t="s">
        <v>131</v>
      </c>
      <c r="E37" s="44" t="s">
        <v>623</v>
      </c>
      <c r="F37" s="44" t="s">
        <v>624</v>
      </c>
    </row>
    <row r="38">
      <c r="A38" s="44">
        <v>16.0</v>
      </c>
      <c r="B38" s="44">
        <v>1.593108337E9</v>
      </c>
      <c r="C38" s="40">
        <f>IFERROR(__xludf.DUMMYFUNCTION("INDEX(SPLIT(B38, char(10)), 0, 1)/86400+date(1970,1,1)"),44007.753900462965)</f>
        <v>44007.7539</v>
      </c>
      <c r="D38" s="44" t="s">
        <v>96</v>
      </c>
      <c r="E38" s="44" t="s">
        <v>625</v>
      </c>
      <c r="F38" s="44" t="s">
        <v>626</v>
      </c>
    </row>
    <row r="39">
      <c r="A39" s="44">
        <v>17.0</v>
      </c>
      <c r="B39" s="44">
        <v>1.593108434E9</v>
      </c>
      <c r="C39" s="40">
        <f>IFERROR(__xludf.DUMMYFUNCTION("INDEX(SPLIT(B39, char(10)), 0, 1)/86400+date(1970,1,1)"),44007.755023148144)</f>
        <v>44007.75502</v>
      </c>
      <c r="D39" s="44" t="s">
        <v>128</v>
      </c>
      <c r="E39" s="44" t="s">
        <v>627</v>
      </c>
      <c r="F39" s="44" t="s">
        <v>628</v>
      </c>
    </row>
    <row r="40">
      <c r="A40" s="44">
        <v>18.0</v>
      </c>
      <c r="B40" s="44">
        <v>1.593108844E9</v>
      </c>
      <c r="C40" s="40">
        <f>IFERROR(__xludf.DUMMYFUNCTION("INDEX(SPLIT(B40, char(10)), 0, 1)/86400+date(1970,1,1)"),44007.75976851852)</f>
        <v>44007.75977</v>
      </c>
      <c r="D40" s="44" t="s">
        <v>103</v>
      </c>
      <c r="E40" s="44" t="s">
        <v>629</v>
      </c>
      <c r="F40" s="44" t="s">
        <v>630</v>
      </c>
    </row>
    <row r="41">
      <c r="A41" s="44">
        <v>19.0</v>
      </c>
      <c r="B41" s="44">
        <v>1.593109062E9</v>
      </c>
      <c r="C41" s="40">
        <f>IFERROR(__xludf.DUMMYFUNCTION("INDEX(SPLIT(B41, char(10)), 0, 1)/86400+date(1970,1,1)"),44007.762291666666)</f>
        <v>44007.76229</v>
      </c>
      <c r="D41" s="44" t="s">
        <v>103</v>
      </c>
      <c r="E41" s="44" t="s">
        <v>631</v>
      </c>
      <c r="F41" s="44" t="s">
        <v>632</v>
      </c>
    </row>
    <row r="42">
      <c r="A42" s="44">
        <v>20.0</v>
      </c>
      <c r="B42" s="44">
        <v>1.593109319E9</v>
      </c>
      <c r="C42" s="40">
        <f>IFERROR(__xludf.DUMMYFUNCTION("INDEX(SPLIT(B42, char(10)), 0, 1)/86400+date(1970,1,1)"),44007.7652662037)</f>
        <v>44007.76527</v>
      </c>
      <c r="D42" s="44" t="s">
        <v>96</v>
      </c>
      <c r="E42" s="44" t="s">
        <v>633</v>
      </c>
      <c r="F42" s="44" t="s">
        <v>634</v>
      </c>
    </row>
    <row r="43">
      <c r="A43" s="44">
        <v>20.0</v>
      </c>
      <c r="B43" s="44">
        <v>1.593109389E9</v>
      </c>
      <c r="C43" s="40">
        <f>IFERROR(__xludf.DUMMYFUNCTION("INDEX(SPLIT(B43, char(10)), 0, 1)/86400+date(1970,1,1)"),44007.766076388885)</f>
        <v>44007.76608</v>
      </c>
      <c r="D43" s="44" t="s">
        <v>131</v>
      </c>
      <c r="E43" s="44" t="s">
        <v>635</v>
      </c>
      <c r="F43" s="44" t="s">
        <v>636</v>
      </c>
    </row>
    <row r="44">
      <c r="A44" s="44">
        <v>21.0</v>
      </c>
      <c r="B44" s="44">
        <v>1.593109744E9</v>
      </c>
      <c r="C44" s="40">
        <f>IFERROR(__xludf.DUMMYFUNCTION("INDEX(SPLIT(B44, char(10)), 0, 1)/86400+date(1970,1,1)"),44007.77018518519)</f>
        <v>44007.77019</v>
      </c>
      <c r="D44" s="44" t="s">
        <v>93</v>
      </c>
      <c r="E44" s="44" t="s">
        <v>268</v>
      </c>
      <c r="F44" s="44" t="s">
        <v>637</v>
      </c>
    </row>
    <row r="45">
      <c r="A45" s="44">
        <v>21.0</v>
      </c>
      <c r="B45" s="44">
        <v>1.593109801E9</v>
      </c>
      <c r="C45" s="40">
        <f>IFERROR(__xludf.DUMMYFUNCTION("INDEX(SPLIT(B45, char(10)), 0, 1)/86400+date(1970,1,1)"),44007.77084490741)</f>
        <v>44007.77084</v>
      </c>
      <c r="D45" s="44" t="s">
        <v>81</v>
      </c>
      <c r="E45" s="44" t="s">
        <v>638</v>
      </c>
      <c r="F45" s="44" t="s">
        <v>639</v>
      </c>
    </row>
    <row r="46">
      <c r="A46" s="44">
        <v>22.0</v>
      </c>
      <c r="B46" s="44">
        <v>1.59310989E9</v>
      </c>
      <c r="C46" s="40">
        <f>IFERROR(__xludf.DUMMYFUNCTION("INDEX(SPLIT(B46, char(10)), 0, 1)/86400+date(1970,1,1)"),44007.771875)</f>
        <v>44007.77188</v>
      </c>
      <c r="D46" s="44" t="s">
        <v>96</v>
      </c>
      <c r="E46" s="44" t="s">
        <v>640</v>
      </c>
      <c r="F46" s="44" t="s">
        <v>641</v>
      </c>
    </row>
    <row r="47">
      <c r="A47" s="44">
        <v>22.0</v>
      </c>
      <c r="B47" s="44">
        <v>1.593109944E9</v>
      </c>
      <c r="C47" s="40">
        <f>IFERROR(__xludf.DUMMYFUNCTION("INDEX(SPLIT(B47, char(10)), 0, 1)/86400+date(1970,1,1)"),44007.7725)</f>
        <v>44007.7725</v>
      </c>
      <c r="D47" s="44" t="s">
        <v>90</v>
      </c>
      <c r="E47" s="44" t="s">
        <v>112</v>
      </c>
      <c r="F47" s="44" t="s">
        <v>642</v>
      </c>
    </row>
    <row r="48">
      <c r="A48" s="44">
        <v>22.0</v>
      </c>
      <c r="B48" s="44">
        <v>1.593109959E9</v>
      </c>
      <c r="C48" s="40">
        <f>IFERROR(__xludf.DUMMYFUNCTION("INDEX(SPLIT(B48, char(10)), 0, 1)/86400+date(1970,1,1)"),44007.77267361111)</f>
        <v>44007.77267</v>
      </c>
      <c r="D48" s="44" t="s">
        <v>81</v>
      </c>
      <c r="E48" s="44" t="s">
        <v>643</v>
      </c>
      <c r="F48" s="44" t="s">
        <v>644</v>
      </c>
    </row>
    <row r="49">
      <c r="A49" s="44">
        <v>23.0</v>
      </c>
      <c r="B49" s="44">
        <v>1.593110027E9</v>
      </c>
      <c r="C49" s="40">
        <f>IFERROR(__xludf.DUMMYFUNCTION("INDEX(SPLIT(B49, char(10)), 0, 1)/86400+date(1970,1,1)"),44007.77346064815)</f>
        <v>44007.77346</v>
      </c>
      <c r="D49" s="44" t="s">
        <v>96</v>
      </c>
      <c r="E49" s="44" t="s">
        <v>645</v>
      </c>
      <c r="F49" s="44" t="s">
        <v>646</v>
      </c>
    </row>
    <row r="50">
      <c r="A50" s="44">
        <v>24.0</v>
      </c>
      <c r="B50" s="44">
        <v>1.593110207E9</v>
      </c>
      <c r="C50" s="40">
        <f>IFERROR(__xludf.DUMMYFUNCTION("INDEX(SPLIT(B50, char(10)), 0, 1)/86400+date(1970,1,1)"),44007.77554398148)</f>
        <v>44007.77554</v>
      </c>
      <c r="D50" s="44" t="s">
        <v>174</v>
      </c>
      <c r="E50" s="44" t="s">
        <v>647</v>
      </c>
      <c r="F50" s="44" t="s">
        <v>648</v>
      </c>
    </row>
    <row r="51">
      <c r="A51" s="44">
        <v>24.0</v>
      </c>
      <c r="B51" s="44">
        <v>1.593110296E9</v>
      </c>
      <c r="C51" s="40">
        <f>IFERROR(__xludf.DUMMYFUNCTION("INDEX(SPLIT(B51, char(10)), 0, 1)/86400+date(1970,1,1)"),44007.77657407407)</f>
        <v>44007.77657</v>
      </c>
      <c r="D51" s="44" t="s">
        <v>131</v>
      </c>
      <c r="E51" s="44" t="s">
        <v>649</v>
      </c>
      <c r="F51" s="44" t="s">
        <v>650</v>
      </c>
    </row>
    <row r="52">
      <c r="A52" s="44">
        <v>25.0</v>
      </c>
      <c r="B52" s="44">
        <v>1.593110334E9</v>
      </c>
      <c r="C52" s="40">
        <f>IFERROR(__xludf.DUMMYFUNCTION("INDEX(SPLIT(B52, char(10)), 0, 1)/86400+date(1970,1,1)"),44007.77701388889)</f>
        <v>44007.77701</v>
      </c>
      <c r="D52" s="44" t="s">
        <v>93</v>
      </c>
      <c r="E52" s="44" t="s">
        <v>651</v>
      </c>
      <c r="F52" s="44" t="s">
        <v>652</v>
      </c>
    </row>
    <row r="53">
      <c r="A53" s="44">
        <v>25.0</v>
      </c>
      <c r="B53" s="44">
        <v>1.593110406E9</v>
      </c>
      <c r="C53" s="40">
        <f>IFERROR(__xludf.DUMMYFUNCTION("INDEX(SPLIT(B53, char(10)), 0, 1)/86400+date(1970,1,1)"),44007.77784722223)</f>
        <v>44007.77785</v>
      </c>
      <c r="D53" s="44" t="s">
        <v>81</v>
      </c>
      <c r="E53" s="44" t="s">
        <v>653</v>
      </c>
      <c r="F53" s="44" t="s">
        <v>654</v>
      </c>
    </row>
    <row r="54">
      <c r="A54" s="44">
        <v>26.0</v>
      </c>
      <c r="B54" s="44">
        <v>1.593110529E9</v>
      </c>
      <c r="C54" s="40">
        <f>IFERROR(__xludf.DUMMYFUNCTION("INDEX(SPLIT(B54, char(10)), 0, 1)/86400+date(1970,1,1)"),44007.77927083333)</f>
        <v>44007.77927</v>
      </c>
      <c r="D54" s="44" t="s">
        <v>103</v>
      </c>
      <c r="E54" s="44" t="s">
        <v>198</v>
      </c>
      <c r="F54" s="44" t="s">
        <v>655</v>
      </c>
    </row>
    <row r="55">
      <c r="A55" s="44">
        <v>26.0</v>
      </c>
      <c r="B55" s="44">
        <v>1.593110565E9</v>
      </c>
      <c r="C55" s="40">
        <f>IFERROR(__xludf.DUMMYFUNCTION("INDEX(SPLIT(B55, char(10)), 0, 1)/86400+date(1970,1,1)"),44007.7796875)</f>
        <v>44007.77969</v>
      </c>
      <c r="D55" s="44" t="s">
        <v>96</v>
      </c>
      <c r="E55" s="44" t="s">
        <v>656</v>
      </c>
      <c r="F55" s="44" t="s">
        <v>657</v>
      </c>
    </row>
    <row r="56">
      <c r="A56" s="44">
        <v>27.0</v>
      </c>
      <c r="B56" s="44">
        <v>1.593110643E9</v>
      </c>
      <c r="C56" s="40">
        <f>IFERROR(__xludf.DUMMYFUNCTION("INDEX(SPLIT(B56, char(10)), 0, 1)/86400+date(1970,1,1)"),44007.780590277776)</f>
        <v>44007.78059</v>
      </c>
      <c r="D56" s="44" t="s">
        <v>128</v>
      </c>
      <c r="E56" s="44" t="s">
        <v>658</v>
      </c>
      <c r="F56" s="44" t="s">
        <v>659</v>
      </c>
    </row>
    <row r="57">
      <c r="A57" s="44">
        <v>27.0</v>
      </c>
      <c r="B57" s="44">
        <v>1.593110689E9</v>
      </c>
      <c r="C57" s="40">
        <f>IFERROR(__xludf.DUMMYFUNCTION("INDEX(SPLIT(B57, char(10)), 0, 1)/86400+date(1970,1,1)"),44007.781122685185)</f>
        <v>44007.78112</v>
      </c>
      <c r="D57" s="44" t="s">
        <v>124</v>
      </c>
      <c r="E57" s="44" t="s">
        <v>660</v>
      </c>
      <c r="F57" s="44" t="s">
        <v>661</v>
      </c>
    </row>
    <row r="58">
      <c r="A58" s="44">
        <v>27.0</v>
      </c>
      <c r="B58" s="44">
        <v>1.593110726E9</v>
      </c>
      <c r="C58" s="40">
        <f>IFERROR(__xludf.DUMMYFUNCTION("INDEX(SPLIT(B58, char(10)), 0, 1)/86400+date(1970,1,1)"),44007.78155092592)</f>
        <v>44007.78155</v>
      </c>
      <c r="D58" s="44" t="s">
        <v>90</v>
      </c>
      <c r="E58" s="44" t="s">
        <v>662</v>
      </c>
      <c r="F58" s="44" t="s">
        <v>663</v>
      </c>
    </row>
    <row r="59">
      <c r="A59" s="44">
        <v>28.0</v>
      </c>
      <c r="B59" s="44">
        <v>1.593110747E9</v>
      </c>
      <c r="C59" s="40">
        <f>IFERROR(__xludf.DUMMYFUNCTION("INDEX(SPLIT(B59, char(10)), 0, 1)/86400+date(1970,1,1)"),44007.781793981485)</f>
        <v>44007.78179</v>
      </c>
      <c r="D59" s="44" t="s">
        <v>93</v>
      </c>
      <c r="E59" s="44" t="s">
        <v>635</v>
      </c>
      <c r="F59" s="44" t="s">
        <v>664</v>
      </c>
    </row>
    <row r="60">
      <c r="A60" s="44">
        <v>28.0</v>
      </c>
      <c r="B60" s="44">
        <v>1.593110771E9</v>
      </c>
      <c r="C60" s="40">
        <f>IFERROR(__xludf.DUMMYFUNCTION("INDEX(SPLIT(B60, char(10)), 0, 1)/86400+date(1970,1,1)"),44007.782071759255)</f>
        <v>44007.78207</v>
      </c>
      <c r="D60" s="44" t="s">
        <v>131</v>
      </c>
      <c r="E60" s="44" t="s">
        <v>665</v>
      </c>
      <c r="F60" s="44" t="s">
        <v>666</v>
      </c>
    </row>
    <row r="61">
      <c r="A61" s="44">
        <v>28.0</v>
      </c>
      <c r="B61" s="44">
        <v>1.593110793E9</v>
      </c>
      <c r="C61" s="40">
        <f>IFERROR(__xludf.DUMMYFUNCTION("INDEX(SPLIT(B61, char(10)), 0, 1)/86400+date(1970,1,1)"),44007.782326388886)</f>
        <v>44007.78233</v>
      </c>
      <c r="D61" s="44" t="s">
        <v>96</v>
      </c>
      <c r="E61" s="44" t="s">
        <v>667</v>
      </c>
      <c r="F61" s="44" t="s">
        <v>668</v>
      </c>
    </row>
    <row r="62">
      <c r="A62" s="44">
        <v>28.0</v>
      </c>
      <c r="B62" s="44">
        <v>1.593110798E9</v>
      </c>
      <c r="C62" s="40">
        <f>IFERROR(__xludf.DUMMYFUNCTION("INDEX(SPLIT(B62, char(10)), 0, 1)/86400+date(1970,1,1)"),44007.78238425926)</f>
        <v>44007.78238</v>
      </c>
      <c r="D62" s="44" t="s">
        <v>136</v>
      </c>
      <c r="E62" s="44" t="s">
        <v>669</v>
      </c>
      <c r="F62" s="44" t="s">
        <v>670</v>
      </c>
    </row>
    <row r="63">
      <c r="A63" s="44">
        <v>29.0</v>
      </c>
      <c r="B63" s="44">
        <v>1.593110928E9</v>
      </c>
      <c r="C63" s="40">
        <f>IFERROR(__xludf.DUMMYFUNCTION("INDEX(SPLIT(B63, char(10)), 0, 1)/86400+date(1970,1,1)"),44007.78388888889)</f>
        <v>44007.78389</v>
      </c>
      <c r="D63" s="44" t="s">
        <v>174</v>
      </c>
      <c r="E63" s="44" t="s">
        <v>175</v>
      </c>
      <c r="F63" s="44" t="s">
        <v>671</v>
      </c>
    </row>
    <row r="64">
      <c r="A64" s="44">
        <v>30.0</v>
      </c>
      <c r="B64" s="44">
        <v>1.593111342E9</v>
      </c>
      <c r="C64" s="40">
        <f>IFERROR(__xludf.DUMMYFUNCTION("INDEX(SPLIT(B64, char(10)), 0, 1)/86400+date(1970,1,1)"),44007.78868055556)</f>
        <v>44007.78868</v>
      </c>
      <c r="D64" s="44" t="s">
        <v>103</v>
      </c>
      <c r="E64" s="44" t="s">
        <v>104</v>
      </c>
      <c r="F64" s="44" t="s">
        <v>672</v>
      </c>
    </row>
    <row r="65">
      <c r="A65" s="44">
        <v>31.0</v>
      </c>
      <c r="B65" s="44">
        <v>1.593111442E9</v>
      </c>
      <c r="C65" s="40">
        <f>IFERROR(__xludf.DUMMYFUNCTION("INDEX(SPLIT(B65, char(10)), 0, 1)/86400+date(1970,1,1)"),44007.78983796296)</f>
        <v>44007.78984</v>
      </c>
      <c r="D65" s="44" t="s">
        <v>96</v>
      </c>
      <c r="E65" s="44" t="s">
        <v>160</v>
      </c>
      <c r="F65" s="44" t="s">
        <v>673</v>
      </c>
    </row>
    <row r="66">
      <c r="C66" s="40"/>
    </row>
    <row r="67">
      <c r="C67" s="40"/>
    </row>
    <row r="68">
      <c r="C68" s="40"/>
    </row>
    <row r="69">
      <c r="C69" s="40"/>
    </row>
    <row r="70">
      <c r="C70" s="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IFERROR(__xludf.DUMMYFUNCTION("TRANSPOSE(UNIQUE(INDIRECT(B2&amp;""!D2:D107"")))"),"['goal', 'score', 'conced', 'equalis', 'offsid', 'assist']")</f>
        <v>['goal', 'score', 'conced', 'equalis', 'offsid', 'assist']</v>
      </c>
      <c r="G1" s="5" t="str">
        <f>IFERROR(__xludf.DUMMYFUNCTION("""COMPUTED_VALUE"""),"['touch', 'cross', 'ball', 'pass']")</f>
        <v>['touch', 'cross', 'ball', 'pass']</v>
      </c>
      <c r="H1" s="5" t="str">
        <f>IFERROR(__xludf.DUMMYFUNCTION("""COMPUTED_VALUE"""),"['foul', 'refere', 'book', 'decis', 'var', 'given', 'pen', 'dive', 'ref', 'penalti']")</f>
        <v>['foul', 'refere', 'book', 'decis', 'var', 'given', 'pen', 'dive', 'ref', 'penalti']</v>
      </c>
      <c r="I1" s="5" t="str">
        <f>IFERROR(__xludf.DUMMYFUNCTION("""COMPUTED_VALUE"""),"['tackl', 'dribbl', 'yellow', 'red', 'card']")</f>
        <v>['tackl', 'dribbl', 'yellow', 'red', 'card']</v>
      </c>
      <c r="J1" s="5" t="str">
        <f>IFERROR(__xludf.DUMMYFUNCTION("""COMPUTED_VALUE"""),"['take', 'knee', 'player']")</f>
        <v>['take', 'knee', 'player']</v>
      </c>
      <c r="K1" s="5" t="str">
        <f>IFERROR(__xludf.DUMMYFUNCTION("""COMPUTED_VALUE"""),"['champion', 'final', 'leagu', 'footbal', 'win']")</f>
        <v>['champion', 'final', 'leagu', 'footbal', 'win']</v>
      </c>
      <c r="L1" s="5" t="str">
        <f>IFERROR(__xludf.DUMMYFUNCTION("""COMPUTED_VALUE"""),"['need', 'half', 'sub', 'second', 'lead', '2nd']")</f>
        <v>['need', 'half', 'sub', 'second', 'lead', '2nd']</v>
      </c>
      <c r="M1" s="5" t="str">
        <f>IFERROR(__xludf.DUMMYFUNCTION("""COMPUTED_VALUE"""),"['keeper', 'best', 'goalkeep', 'defend', 'EXCLUDED-kepa', 'save']")</f>
        <v>['keeper', 'best', 'goalkeep', 'defend', 'EXCLUDED-kepa', 'save']</v>
      </c>
      <c r="N1" s="5" t="str">
        <f>IFERROR(__xludf.DUMMYFUNCTION("""COMPUTED_VALUE"""),"['gol', 'stream', 'onlin', 'free', 'reddit', 'link', 'EXCLUDED-manchest', 'ff', 'live']")</f>
        <v>['gol', 'stream', 'onlin', 'free', 'reddit', 'link', 'EXCLUDED-manchest', 'ff', 'live']</v>
      </c>
      <c r="O1" s="5" t="str">
        <f>IFERROR(__xludf.DUMMYFUNCTION("""COMPUTED_VALUE"""),"['deflect', 'kick', 'corner', 'shot', 'net']")</f>
        <v>['deflect', 'kick', 'corner', 'shot', 'net']</v>
      </c>
      <c r="P1" s="5" t="str">
        <f>IFERROR(__xludf.DUMMYFUNCTION("""COMPUTED_VALUE"""),"['world', 'class', 'striker']")</f>
        <v>['world', 'class', 'striker']</v>
      </c>
      <c r="Q1" s="5"/>
    </row>
    <row r="2">
      <c r="A2" s="14" t="s">
        <v>31</v>
      </c>
      <c r="B2" s="15" t="s">
        <v>674</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f t="shared" ref="G3:G7" si="2">F3/SUM(F$3:F$7)</f>
        <v>0</v>
      </c>
      <c r="H3" s="20" t="s">
        <v>14</v>
      </c>
      <c r="I3" s="21">
        <f t="shared" ref="I3:I7" si="3">COUNTIF(J$10:J1007,H3)</f>
        <v>0</v>
      </c>
      <c r="J3" s="22">
        <f t="shared" ref="J3:J7" si="4">I3/SUM(I$3:I$7)</f>
        <v>0</v>
      </c>
      <c r="K3" s="20" t="s">
        <v>14</v>
      </c>
      <c r="L3" s="21">
        <f t="shared" ref="L3:L7" si="5">COUNTIF(M$10:M1007,K3)</f>
        <v>0</v>
      </c>
      <c r="M3" s="22">
        <f t="shared" ref="M3:M7" si="6">L3/SUM(L$3:L$7)</f>
        <v>0</v>
      </c>
      <c r="N3" s="20" t="s">
        <v>14</v>
      </c>
      <c r="O3" s="21">
        <f t="shared" ref="O3:O7" si="7">COUNTIF(P$10:P1007,N3)</f>
        <v>0</v>
      </c>
      <c r="P3" s="22">
        <f t="shared" ref="P3:P7" si="8">O3/SUM(O$3:O$7)</f>
        <v>0</v>
      </c>
      <c r="Q3" s="20" t="s">
        <v>14</v>
      </c>
      <c r="R3" s="21">
        <f t="shared" ref="R3:R7" si="9">COUNTIF(S$10:S1007,Q3)</f>
        <v>0</v>
      </c>
      <c r="S3" s="22">
        <f t="shared" ref="S3:S7" si="10">R3/SUM(R$3:R$7)</f>
        <v>0</v>
      </c>
      <c r="T3" s="20" t="s">
        <v>14</v>
      </c>
      <c r="U3" s="21">
        <f t="shared" ref="U3:U7" si="11">COUNTIF(V$10:V1007,T3)</f>
        <v>0</v>
      </c>
      <c r="V3" s="22">
        <f t="shared" ref="V3:V7" si="12">U3/SUM(U$3:U$7)</f>
        <v>0</v>
      </c>
      <c r="W3" s="20" t="s">
        <v>14</v>
      </c>
      <c r="X3" s="21">
        <f t="shared" ref="X3:X7" si="13">COUNTIF(Y$10:Y1007,W3)</f>
        <v>1</v>
      </c>
      <c r="Y3" s="22">
        <f t="shared" ref="Y3:Y7" si="14">X3/SUM(X$3:X$7)</f>
        <v>0.07692307692</v>
      </c>
      <c r="Z3" s="20" t="s">
        <v>14</v>
      </c>
      <c r="AA3" s="21">
        <f t="shared" ref="AA3:AA7" si="15">COUNTIF(AB$10:AB1007,Z3)</f>
        <v>0</v>
      </c>
      <c r="AB3" s="22">
        <f t="shared" ref="AB3:AB7" si="16">AA3/SUM(AA$3:AA$7)</f>
        <v>0</v>
      </c>
      <c r="AC3" s="20" t="s">
        <v>14</v>
      </c>
      <c r="AD3" s="21">
        <f t="shared" ref="AD3:AD7" si="17">COUNTIF(AE$10:AE1007,AC3)</f>
        <v>0</v>
      </c>
      <c r="AE3" s="22">
        <f t="shared" ref="AE3:AE7" si="18">AD3/SUM(AD$3:AD$7)</f>
        <v>0</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f t="shared" si="2"/>
        <v>0</v>
      </c>
      <c r="H4" s="20" t="s">
        <v>15</v>
      </c>
      <c r="I4" s="21">
        <f t="shared" si="3"/>
        <v>0</v>
      </c>
      <c r="J4" s="22">
        <f t="shared" si="4"/>
        <v>0</v>
      </c>
      <c r="K4" s="20" t="s">
        <v>15</v>
      </c>
      <c r="L4" s="21">
        <f t="shared" si="5"/>
        <v>0</v>
      </c>
      <c r="M4" s="22">
        <f t="shared" si="6"/>
        <v>0</v>
      </c>
      <c r="N4" s="20" t="s">
        <v>15</v>
      </c>
      <c r="O4" s="21">
        <f t="shared" si="7"/>
        <v>0</v>
      </c>
      <c r="P4" s="22">
        <f t="shared" si="8"/>
        <v>0</v>
      </c>
      <c r="Q4" s="20" t="s">
        <v>15</v>
      </c>
      <c r="R4" s="21">
        <f t="shared" si="9"/>
        <v>1</v>
      </c>
      <c r="S4" s="22">
        <f t="shared" si="10"/>
        <v>0.1428571429</v>
      </c>
      <c r="T4" s="20" t="s">
        <v>15</v>
      </c>
      <c r="U4" s="21">
        <f t="shared" si="11"/>
        <v>4</v>
      </c>
      <c r="V4" s="22">
        <f t="shared" si="12"/>
        <v>0.3636363636</v>
      </c>
      <c r="W4" s="20" t="s">
        <v>15</v>
      </c>
      <c r="X4" s="21">
        <f t="shared" si="13"/>
        <v>0</v>
      </c>
      <c r="Y4" s="22">
        <f t="shared" si="14"/>
        <v>0</v>
      </c>
      <c r="Z4" s="20" t="s">
        <v>15</v>
      </c>
      <c r="AA4" s="21">
        <f t="shared" si="15"/>
        <v>1</v>
      </c>
      <c r="AB4" s="22">
        <f t="shared" si="16"/>
        <v>0.3333333333</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1</v>
      </c>
      <c r="G5" s="22">
        <f t="shared" si="2"/>
        <v>0.2</v>
      </c>
      <c r="H5" s="20" t="s">
        <v>16</v>
      </c>
      <c r="I5" s="21">
        <f t="shared" si="3"/>
        <v>0</v>
      </c>
      <c r="J5" s="22">
        <f t="shared" si="4"/>
        <v>0</v>
      </c>
      <c r="K5" s="20" t="s">
        <v>16</v>
      </c>
      <c r="L5" s="21">
        <f t="shared" si="5"/>
        <v>0</v>
      </c>
      <c r="M5" s="22">
        <f t="shared" si="6"/>
        <v>0</v>
      </c>
      <c r="N5" s="20" t="s">
        <v>16</v>
      </c>
      <c r="O5" s="21">
        <f t="shared" si="7"/>
        <v>0</v>
      </c>
      <c r="P5" s="22">
        <f t="shared" si="8"/>
        <v>0</v>
      </c>
      <c r="Q5" s="20" t="s">
        <v>16</v>
      </c>
      <c r="R5" s="21">
        <f t="shared" si="9"/>
        <v>2</v>
      </c>
      <c r="S5" s="22">
        <f t="shared" si="10"/>
        <v>0.2857142857</v>
      </c>
      <c r="T5" s="20" t="s">
        <v>16</v>
      </c>
      <c r="U5" s="21">
        <f t="shared" si="11"/>
        <v>3</v>
      </c>
      <c r="V5" s="22">
        <f t="shared" si="12"/>
        <v>0.2727272727</v>
      </c>
      <c r="W5" s="20" t="s">
        <v>16</v>
      </c>
      <c r="X5" s="21">
        <f t="shared" si="13"/>
        <v>2</v>
      </c>
      <c r="Y5" s="22">
        <f t="shared" si="14"/>
        <v>0.1538461538</v>
      </c>
      <c r="Z5" s="20" t="s">
        <v>16</v>
      </c>
      <c r="AA5" s="21">
        <f t="shared" si="15"/>
        <v>0</v>
      </c>
      <c r="AB5" s="22">
        <f t="shared" si="16"/>
        <v>0</v>
      </c>
      <c r="AC5" s="20" t="s">
        <v>16</v>
      </c>
      <c r="AD5" s="21">
        <f t="shared" si="17"/>
        <v>0</v>
      </c>
      <c r="AE5" s="22">
        <f t="shared" si="18"/>
        <v>0</v>
      </c>
      <c r="AF5" s="20" t="s">
        <v>16</v>
      </c>
      <c r="AG5" s="21">
        <f t="shared" si="19"/>
        <v>0</v>
      </c>
      <c r="AH5" s="22">
        <f t="shared" si="20"/>
        <v>0</v>
      </c>
      <c r="AI5" s="20" t="s">
        <v>16</v>
      </c>
      <c r="AJ5" s="21">
        <f t="shared" si="21"/>
        <v>1</v>
      </c>
      <c r="AK5" s="22">
        <f t="shared" si="22"/>
        <v>1</v>
      </c>
      <c r="AL5" s="20" t="s">
        <v>16</v>
      </c>
      <c r="AM5" s="21">
        <f t="shared" si="23"/>
        <v>0</v>
      </c>
      <c r="AN5" s="22" t="str">
        <f t="shared" si="24"/>
        <v>#DIV/0!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3</v>
      </c>
      <c r="G6" s="22">
        <f t="shared" si="2"/>
        <v>0.6</v>
      </c>
      <c r="H6" s="20" t="s">
        <v>17</v>
      </c>
      <c r="I6" s="21">
        <f t="shared" si="3"/>
        <v>2</v>
      </c>
      <c r="J6" s="22">
        <f t="shared" si="4"/>
        <v>0.1818181818</v>
      </c>
      <c r="K6" s="20" t="s">
        <v>17</v>
      </c>
      <c r="L6" s="21">
        <f t="shared" si="5"/>
        <v>2</v>
      </c>
      <c r="M6" s="22">
        <f t="shared" si="6"/>
        <v>1</v>
      </c>
      <c r="N6" s="20" t="s">
        <v>17</v>
      </c>
      <c r="O6" s="21">
        <f t="shared" si="7"/>
        <v>3</v>
      </c>
      <c r="P6" s="22">
        <f t="shared" si="8"/>
        <v>1</v>
      </c>
      <c r="Q6" s="20" t="s">
        <v>17</v>
      </c>
      <c r="R6" s="21">
        <f t="shared" si="9"/>
        <v>2</v>
      </c>
      <c r="S6" s="22">
        <f t="shared" si="10"/>
        <v>0.2857142857</v>
      </c>
      <c r="T6" s="20" t="s">
        <v>17</v>
      </c>
      <c r="U6" s="21">
        <f t="shared" si="11"/>
        <v>1</v>
      </c>
      <c r="V6" s="22">
        <f t="shared" si="12"/>
        <v>0.09090909091</v>
      </c>
      <c r="W6" s="20" t="s">
        <v>17</v>
      </c>
      <c r="X6" s="21">
        <f t="shared" si="13"/>
        <v>7</v>
      </c>
      <c r="Y6" s="22">
        <f t="shared" si="14"/>
        <v>0.5384615385</v>
      </c>
      <c r="Z6" s="20" t="s">
        <v>17</v>
      </c>
      <c r="AA6" s="21">
        <f t="shared" si="15"/>
        <v>1</v>
      </c>
      <c r="AB6" s="22">
        <f t="shared" si="16"/>
        <v>0.3333333333</v>
      </c>
      <c r="AC6" s="20" t="s">
        <v>17</v>
      </c>
      <c r="AD6" s="21">
        <f t="shared" si="17"/>
        <v>4</v>
      </c>
      <c r="AE6" s="22">
        <f t="shared" si="18"/>
        <v>0.8</v>
      </c>
      <c r="AF6" s="20" t="s">
        <v>17</v>
      </c>
      <c r="AG6" s="21">
        <f t="shared" si="19"/>
        <v>3</v>
      </c>
      <c r="AH6" s="22">
        <f t="shared" si="20"/>
        <v>1</v>
      </c>
      <c r="AI6" s="20" t="s">
        <v>17</v>
      </c>
      <c r="AJ6" s="21">
        <f t="shared" si="21"/>
        <v>0</v>
      </c>
      <c r="AK6" s="22">
        <f t="shared" si="22"/>
        <v>0</v>
      </c>
      <c r="AL6" s="20" t="s">
        <v>17</v>
      </c>
      <c r="AM6" s="21">
        <f t="shared" si="23"/>
        <v>0</v>
      </c>
      <c r="AN6" s="22" t="str">
        <f t="shared" si="24"/>
        <v>#DIV/0!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1</v>
      </c>
      <c r="G7" s="22">
        <f t="shared" si="2"/>
        <v>0.2</v>
      </c>
      <c r="H7" s="20" t="s">
        <v>18</v>
      </c>
      <c r="I7" s="21">
        <f t="shared" si="3"/>
        <v>9</v>
      </c>
      <c r="J7" s="22">
        <f t="shared" si="4"/>
        <v>0.8181818182</v>
      </c>
      <c r="K7" s="20" t="s">
        <v>18</v>
      </c>
      <c r="L7" s="21">
        <f t="shared" si="5"/>
        <v>0</v>
      </c>
      <c r="M7" s="22">
        <f t="shared" si="6"/>
        <v>0</v>
      </c>
      <c r="N7" s="20" t="s">
        <v>18</v>
      </c>
      <c r="O7" s="21">
        <f t="shared" si="7"/>
        <v>0</v>
      </c>
      <c r="P7" s="22">
        <f t="shared" si="8"/>
        <v>0</v>
      </c>
      <c r="Q7" s="20" t="s">
        <v>18</v>
      </c>
      <c r="R7" s="21">
        <f t="shared" si="9"/>
        <v>2</v>
      </c>
      <c r="S7" s="22">
        <f t="shared" si="10"/>
        <v>0.2857142857</v>
      </c>
      <c r="T7" s="20" t="s">
        <v>18</v>
      </c>
      <c r="U7" s="21">
        <f t="shared" si="11"/>
        <v>3</v>
      </c>
      <c r="V7" s="22">
        <f t="shared" si="12"/>
        <v>0.2727272727</v>
      </c>
      <c r="W7" s="20" t="s">
        <v>18</v>
      </c>
      <c r="X7" s="21">
        <f t="shared" si="13"/>
        <v>3</v>
      </c>
      <c r="Y7" s="22">
        <f t="shared" si="14"/>
        <v>0.2307692308</v>
      </c>
      <c r="Z7" s="20" t="s">
        <v>18</v>
      </c>
      <c r="AA7" s="21">
        <f t="shared" si="15"/>
        <v>1</v>
      </c>
      <c r="AB7" s="22">
        <f t="shared" si="16"/>
        <v>0.3333333333</v>
      </c>
      <c r="AC7" s="20" t="s">
        <v>18</v>
      </c>
      <c r="AD7" s="21">
        <f t="shared" si="17"/>
        <v>1</v>
      </c>
      <c r="AE7" s="22">
        <f t="shared" si="18"/>
        <v>0.2</v>
      </c>
      <c r="AF7" s="20" t="s">
        <v>18</v>
      </c>
      <c r="AG7" s="21">
        <f t="shared" si="19"/>
        <v>0</v>
      </c>
      <c r="AH7" s="22">
        <f t="shared" si="20"/>
        <v>0</v>
      </c>
      <c r="AI7" s="20" t="s">
        <v>18</v>
      </c>
      <c r="AJ7" s="21">
        <f t="shared" si="21"/>
        <v>0</v>
      </c>
      <c r="AK7" s="22">
        <f t="shared" si="22"/>
        <v>0</v>
      </c>
      <c r="AL7" s="20" t="s">
        <v>18</v>
      </c>
      <c r="AM7" s="21">
        <f t="shared" si="23"/>
        <v>0</v>
      </c>
      <c r="AN7" s="22" t="str">
        <f t="shared" si="24"/>
        <v>#DIV/0!</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5</v>
      </c>
      <c r="G8" s="25">
        <f>SUM(G6:G7)</f>
        <v>0.8</v>
      </c>
      <c r="H8" s="24" t="s">
        <v>13</v>
      </c>
      <c r="I8" s="5">
        <f>SUM(I3:I7)</f>
        <v>11</v>
      </c>
      <c r="J8" s="25">
        <f>SUM(J6:J7)</f>
        <v>1</v>
      </c>
      <c r="K8" s="24" t="s">
        <v>13</v>
      </c>
      <c r="L8" s="5">
        <f>SUM(L3:L7)</f>
        <v>2</v>
      </c>
      <c r="M8" s="25">
        <f>SUM(M6:M7)</f>
        <v>1</v>
      </c>
      <c r="N8" s="24" t="s">
        <v>13</v>
      </c>
      <c r="O8" s="5">
        <f>SUM(O3:O7)</f>
        <v>3</v>
      </c>
      <c r="P8" s="25">
        <f>SUM(P6:P7)</f>
        <v>1</v>
      </c>
      <c r="Q8" s="24" t="s">
        <v>13</v>
      </c>
      <c r="R8" s="5">
        <f>SUM(R3:R7)</f>
        <v>7</v>
      </c>
      <c r="S8" s="25">
        <f>SUM(S6:S7)</f>
        <v>0.5714285714</v>
      </c>
      <c r="T8" s="24" t="s">
        <v>13</v>
      </c>
      <c r="U8" s="5">
        <f>SUM(U3:U7)</f>
        <v>11</v>
      </c>
      <c r="V8" s="25">
        <f>SUM(V6:V7)</f>
        <v>0.3636363636</v>
      </c>
      <c r="W8" s="24" t="s">
        <v>13</v>
      </c>
      <c r="X8" s="5">
        <f>SUM(X3:X7)</f>
        <v>13</v>
      </c>
      <c r="Y8" s="25">
        <f>SUM(Y6:Y7)</f>
        <v>0.7692307692</v>
      </c>
      <c r="Z8" s="24" t="s">
        <v>13</v>
      </c>
      <c r="AA8" s="5">
        <f>SUM(AA3:AA7)</f>
        <v>3</v>
      </c>
      <c r="AB8" s="25">
        <f>SUM(AB6:AB7)</f>
        <v>0.6666666667</v>
      </c>
      <c r="AC8" s="24" t="s">
        <v>13</v>
      </c>
      <c r="AD8" s="5">
        <f>SUM(AD3:AD7)</f>
        <v>5</v>
      </c>
      <c r="AE8" s="25">
        <f>SUM(AE6:AE7)</f>
        <v>1</v>
      </c>
      <c r="AF8" s="24" t="s">
        <v>13</v>
      </c>
      <c r="AG8" s="5">
        <f>SUM(AG3:AG7)</f>
        <v>3</v>
      </c>
      <c r="AH8" s="25">
        <f>SUM(AH6:AH7)</f>
        <v>1</v>
      </c>
      <c r="AI8" s="24" t="s">
        <v>13</v>
      </c>
      <c r="AJ8" s="5">
        <f>SUM(AJ3:AJ7)</f>
        <v>1</v>
      </c>
      <c r="AK8" s="25">
        <f>SUM(AK6:AK7)</f>
        <v>0</v>
      </c>
      <c r="AL8" s="24" t="s">
        <v>13</v>
      </c>
      <c r="AM8" s="5">
        <f>SUM(AM3:AM7)</f>
        <v>0</v>
      </c>
      <c r="AN8" s="25" t="str">
        <f>SUM(AN6:AN7)</f>
        <v>#DIV/0!</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['goal', 'score', 'conced', 'equalis', 'offsid', 'assist']</v>
      </c>
      <c r="F9" s="28"/>
      <c r="G9" s="29"/>
      <c r="H9" s="27" t="str">
        <f>IF((COLUMN(H9) - 2)/3 = INT((COLUMN(H9) - 2)/3), INDIRECT("R1C"&amp;CEILING(4 + COLUMN(H9)/3,1), FALSE), "")</f>
        <v>['touch', 'cross', 'ball', 'pass']</v>
      </c>
      <c r="I9" s="28"/>
      <c r="J9" s="29"/>
      <c r="K9" s="27" t="str">
        <f>IF((COLUMN(K9) - 2)/3 = INT((COLUMN(K9) - 2)/3), INDIRECT("R1C"&amp;CEILING(4 + COLUMN(K9)/3,1), FALSE), "")</f>
        <v>['foul', 'refere', 'book', 'decis', 'var', 'given', 'pen', 'dive', 'ref', 'penalti']</v>
      </c>
      <c r="L9" s="28"/>
      <c r="M9" s="29"/>
      <c r="N9" s="27" t="str">
        <f>IF((COLUMN(N9) - 2)/3 = INT((COLUMN(N9) - 2)/3), INDIRECT("R1C"&amp;CEILING(4 + COLUMN(N9)/3,1), FALSE), "")</f>
        <v>['tackl', 'dribbl', 'yellow', 'red', 'card']</v>
      </c>
      <c r="O9" s="28"/>
      <c r="P9" s="29"/>
      <c r="Q9" s="27" t="str">
        <f>IF((COLUMN(Q9) - 2)/3 = INT((COLUMN(Q9) - 2)/3), INDIRECT("R1C"&amp;CEILING(4 + COLUMN(Q9)/3,1), FALSE), "")</f>
        <v>['take', 'knee', 'player']</v>
      </c>
      <c r="R9" s="28"/>
      <c r="S9" s="29"/>
      <c r="T9" s="27" t="str">
        <f>IF((COLUMN(T9) - 2)/3 = INT((COLUMN(T9) - 2)/3), INDIRECT("R1C"&amp;CEILING(4 + COLUMN(T9)/3,1), FALSE), "")</f>
        <v>['champion', 'final', 'leagu', 'footbal', 'win']</v>
      </c>
      <c r="U9" s="28"/>
      <c r="V9" s="29"/>
      <c r="W9" s="27" t="str">
        <f>IF((COLUMN(W9) - 2)/3 = INT((COLUMN(W9) - 2)/3), INDIRECT("R1C"&amp;CEILING(4 + COLUMN(W9)/3,1), FALSE), "")</f>
        <v>['need', 'half', 'sub', 'second', 'lead', '2nd']</v>
      </c>
      <c r="X9" s="28"/>
      <c r="Y9" s="29"/>
      <c r="Z9" s="27" t="str">
        <f>IF((COLUMN(Z9) - 2)/3 = INT((COLUMN(Z9) - 2)/3), INDIRECT("R1C"&amp;CEILING(4 + COLUMN(Z9)/3,1), FALSE), "")</f>
        <v>['keeper', 'best', 'goalkeep', 'defend', 'EXCLUDED-kepa', 'save']</v>
      </c>
      <c r="AA9" s="28"/>
      <c r="AB9" s="29"/>
      <c r="AC9" s="27" t="str">
        <f>IF((COLUMN(AC9) - 2)/3 = INT((COLUMN(AC9) - 2)/3), INDIRECT("R1C"&amp;CEILING(4 + COLUMN(AC9)/3,1), FALSE), "")</f>
        <v>['gol', 'stream', 'onlin', 'free', 'reddit', 'link', 'EXCLUDED-manchest', 'ff', 'live']</v>
      </c>
      <c r="AD9" s="28"/>
      <c r="AE9" s="29"/>
      <c r="AF9" s="27" t="str">
        <f>IF((COLUMN(AF9) - 2)/3 = INT((COLUMN(AF9) - 2)/3), INDIRECT("R1C"&amp;CEILING(4 + COLUMN(AF9)/3,1), FALSE), "")</f>
        <v>['deflect', 'kick', 'corner', 'shot', 'net']</v>
      </c>
      <c r="AG9" s="28"/>
      <c r="AH9" s="29"/>
      <c r="AI9" s="27" t="str">
        <f>IF((COLUMN(AI9) - 2)/3 = INT((COLUMN(AI9) - 2)/3), INDIRECT("R1C"&amp;CEILING(4 + COLUMN(AI9)/3,1), FALSE), "")</f>
        <v>['world', 'class', 'striker']</v>
      </c>
      <c r="AJ9" s="28"/>
      <c r="AK9" s="29"/>
      <c r="AL9" s="27" t="str">
        <f>IF((COLUMN(AL9) - 2)/3 = INT((COLUMN(AL9) - 2)/3), INDIRECT("R1C"&amp;CEILING(4 + COLUMN(AL9)/3,1), FALSE), "")</f>
        <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NOT(ISERROR($E3:DF3))))"),1.0)</f>
        <v>1</v>
      </c>
      <c r="D10" s="26">
        <f t="shared" ref="D10:D14" si="63">$C10/$C$15</f>
        <v>0.015625</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NOT(ISERROR($E4:DF4))))"),6.0)</f>
        <v>6</v>
      </c>
      <c r="D11" s="26">
        <f t="shared" si="63"/>
        <v>0.09375</v>
      </c>
      <c r="E11" s="40">
        <f>IFERROR(__xludf.DUMMYFUNCTION("""COMPUTED_VALUE"""),44007.71449074074)</f>
        <v>44007.71449</v>
      </c>
      <c r="F11" s="5" t="str">
        <f>IFERROR(__xludf.DUMMYFUNCTION("""COMPUTED_VALUE"""),"That ball from Xhaka was 👌 shame it was offside. That would have been a beauty if Saka wasn’t offside- damn #SOUARS. Offside but what a pass from Xhaka tho ffsss. Saka to Nketiah goal but it was offside my heart is on fire 😭😭😭😭😭.")</f>
        <v>That ball from Xhaka was 👌 shame it was offside. That would have been a beauty if Saka wasn’t offside- damn #SOUARS. Offside but what a pass from Xhaka tho ffsss. Saka to Nketiah goal but it was offside my heart is on fire 😭😭😭😭😭.</v>
      </c>
      <c r="G11" s="39" t="s">
        <v>17</v>
      </c>
      <c r="H11" s="40">
        <f>IFERROR(__xludf.DUMMYFUNCTION("""COMPUTED_VALUE"""),44007.71452546296)</f>
        <v>44007.71453</v>
      </c>
      <c r="I11" s="5" t="str">
        <f>IFERROR(__xludf.DUMMYFUNCTION("""COMPUTED_VALUE"""),"What a pass from Xhaka man. Missed him so much. Offside but that's what Granit Xhaka is in the side for. What a ball. What a pass from Xhaka to Saka 👏👏too bad ended up with a disallowed goal. See that pass from Xhaka there? that’s why he starts.")</f>
        <v>What a pass from Xhaka man. Missed him so much. Offside but that's what Granit Xhaka is in the side for. What a ball. What a pass from Xhaka to Saka 👏👏too bad ended up with a disallowed goal. See that pass from Xhaka there? that’s why he starts.</v>
      </c>
      <c r="J11" s="39" t="s">
        <v>17</v>
      </c>
      <c r="K11" s="40">
        <f>IFERROR(__xludf.DUMMYFUNCTION("""COMPUTED_VALUE"""),44007.716678240744)</f>
        <v>44007.71668</v>
      </c>
      <c r="L11" s="5" t="str">
        <f>IFERROR(__xludf.DUMMYFUNCTION("""COMPUTED_VALUE"""),"Mustafi booked! 👏. But instant booking for Arsenal, ducking ridiculous. So mustafi gets booked for that but hjoberg didnt get book for stopping pepe in full flow. Refs love booking an Arsenal player. Booking? First foul of the game by an Arsenal player. "&amp;"Absolutely.")</f>
        <v>Mustafi booked! 👏. But instant booking for Arsenal, ducking ridiculous. So mustafi gets booked for that but hjoberg didnt get book for stopping pepe in full flow. Refs love booking an Arsenal player. Booking? First foul of the game by an Arsenal player. Absolutely.</v>
      </c>
      <c r="M11" s="39" t="s">
        <v>17</v>
      </c>
      <c r="N11" s="40">
        <f>IFERROR(__xludf.DUMMYFUNCTION("""COMPUTED_VALUE"""),44007.71674768519)</f>
        <v>44007.71675</v>
      </c>
      <c r="O11" s="5" t="str">
        <f>IFERROR(__xludf.DUMMYFUNCTION("""COMPUTED_VALUE"""),"Hahaha fuck off mustafi booked first tackle, what about hojberg... ah can’t stand it already. What a joke, Mustafi gets the yellow card !!! Fcuk off Premier League you corrupt bunch of c^*ts with the PGMOL. How is that a yellow for Mustafi but not Hojeber"&amp;"g?")</f>
        <v>Hahaha fuck off mustafi booked first tackle, what about hojberg... ah can’t stand it already. What a joke, Mustafi gets the yellow card !!! Fcuk off Premier League you corrupt bunch of c^*ts with the PGMOL. How is that a yellow for Mustafi but not Hojeberg?</v>
      </c>
      <c r="P11" s="39" t="s">
        <v>17</v>
      </c>
      <c r="Q11" s="40">
        <f>IFERROR(__xludf.DUMMYFUNCTION("""COMPUTED_VALUE"""),44007.716828703706)</f>
        <v>44007.71683</v>
      </c>
      <c r="R11" s="5" t="str">
        <f>IFERROR(__xludf.DUMMYFUNCTION("""COMPUTED_VALUE"""),"Booking? First foul of the game by an Arsenal player. Absolutely. Refs love booking an Arsenal player. Booking? Deliberate Foul on an Arsenal player stopping a break. Ah ok. No, then. Refs are banter. How has mustafi got booked but not their player 🤨.")</f>
        <v>Booking? First foul of the game by an Arsenal player. Absolutely. Refs love booking an Arsenal player. Booking? Deliberate Foul on an Arsenal player stopping a break. Ah ok. No, then. Refs are banter. How has mustafi got booked but not their player 🤨.</v>
      </c>
      <c r="S11" s="39" t="s">
        <v>17</v>
      </c>
      <c r="T11" s="40">
        <f>IFERROR(__xludf.DUMMYFUNCTION("""COMPUTED_VALUE"""),44007.71712962963)</f>
        <v>44007.71713</v>
      </c>
      <c r="U11" s="5" t="str">
        <f>IFERROR(__xludf.DUMMYFUNCTION("""COMPUTED_VALUE"""),"Mustafi is still the worst defender in the league I see. Southampton win is imminent. You can see it. People are finally seeing what Xhaka offers 🤐. Liverpool want Chelsea to win. Manchester Utd want Chelsea to lose and. Arsenal dont even know what they "&amp;"want...")</f>
        <v>Mustafi is still the worst defender in the league I see. Southampton win is imminent. You can see it. People are finally seeing what Xhaka offers 🤐. Liverpool want Chelsea to win. Manchester Utd want Chelsea to lose and. Arsenal dont even know what they want...</v>
      </c>
      <c r="V11" s="39" t="s">
        <v>16</v>
      </c>
      <c r="W11" s="40">
        <f>IFERROR(__xludf.DUMMYFUNCTION("""COMPUTED_VALUE"""),44007.72278935185)</f>
        <v>44007.72279</v>
      </c>
      <c r="X11" s="5" t="str">
        <f>IFERROR(__xludf.DUMMYFUNCTION("""COMPUTED_VALUE"""),"Arsenal lead. Arsenal takes the lead. Eddie Nketia. Southampton GL error leading to a goal from Arsenal striker. Giroud memories are coming back. Nketiah capitalised on Southampton goalkeeper's error to give Arsenal the lead. Nketiah 1-0. Horror for McCar"&amp;"thy. #AFC lead.")</f>
        <v>Arsenal lead. Arsenal takes the lead. Eddie Nketia. Southampton GL error leading to a goal from Arsenal striker. Giroud memories are coming back. Nketiah capitalised on Southampton goalkeeper's error to give Arsenal the lead. Nketiah 1-0. Horror for McCarthy. #AFC lead.</v>
      </c>
      <c r="Y11" s="39" t="s">
        <v>17</v>
      </c>
      <c r="Z11" s="40">
        <f>IFERROR(__xludf.DUMMYFUNCTION("""COMPUTED_VALUE"""),44007.72288194444)</f>
        <v>44007.72288</v>
      </c>
      <c r="AA11" s="5" t="str">
        <f>IFERROR(__xludf.DUMMYFUNCTION("""COMPUTED_VALUE"""),"Southampton got a curse with these keepers. Wow, what a stupid goal keeper man 1-0 arsenal. What was the keeper doing? Deffo an arsenal fan! Thats a giveaway from the Soton keeper 😂😂 #SOUARS. If that was Lacazette, the keeper would of caught him up.")</f>
        <v>Southampton got a curse with these keepers. Wow, what a stupid goal keeper man 1-0 arsenal. What was the keeper doing? Deffo an arsenal fan! Thats a giveaway from the Soton keeper 😂😂 #SOUARS. If that was Lacazette, the keeper would of caught him up.</v>
      </c>
      <c r="AB11" s="39" t="s">
        <v>17</v>
      </c>
      <c r="AC11" s="40">
        <f>IFERROR(__xludf.DUMMYFUNCTION("""COMPUTED_VALUE"""),44007.72293981482)</f>
        <v>44007.72294</v>
      </c>
      <c r="AD11" s="5" t="str">
        <f>IFERROR(__xludf.DUMMYFUNCTION("""COMPUTED_VALUE"""),"20'/1º - GOOOOOOOOOOOOOOOOOOOOOOOOOOOOL DO ARSENAL! Edward Nketiah. Southampton 0x1 Arsenal. OH esse gol do arsenal KKKK. O gol do arsenal ??????? WTF MCCARTHY. Gol do Arsenal. GOAL! Southampton 0-1 Arsenal (Nketiah, '20) Watch live on Sky Sports Main Eve"&amp;"nt now or follow below!")</f>
        <v>20'/1º - GOOOOOOOOOOOOOOOOOOOOOOOOOOOOL DO ARSENAL! Edward Nketiah. Southampton 0x1 Arsenal. OH esse gol do arsenal KKKK. O gol do arsenal ??????? WTF MCCARTHY. Gol do Arsenal. GOAL! Southampton 0-1 Arsenal (Nketiah, '20) Watch live on Sky Sports Main Event now or follow below!</v>
      </c>
      <c r="AE11" s="39" t="s">
        <v>17</v>
      </c>
      <c r="AF11" s="40">
        <f>IFERROR(__xludf.DUMMYFUNCTION("""COMPUTED_VALUE"""),44007.723449074074)</f>
        <v>44007.72345</v>
      </c>
      <c r="AG11" s="5" t="str">
        <f>IFERROR(__xludf.DUMMYFUNCTION("""COMPUTED_VALUE"""),"McCarthy’s been asking for that since kick off. #Arsenal go up 1-0! Nketiah takes it off Alex McCarthy's foot and walks it into the empty net. McCarthy gets caught on the ball, Nketiah blocks his clearance and taps into an empty net. 1-0 to the Arsenal.")</f>
        <v>McCarthy’s been asking for that since kick off. #Arsenal go up 1-0! Nketiah takes it off Alex McCarthy's foot and walks it into the empty net. McCarthy gets caught on the ball, Nketiah blocks his clearance and taps into an empty net. 1-0 to the Arsenal.</v>
      </c>
      <c r="AH11" s="39" t="s">
        <v>17</v>
      </c>
      <c r="AI11" s="40">
        <f>IFERROR(__xludf.DUMMYFUNCTION("""COMPUTED_VALUE"""),44007.723599537036)</f>
        <v>44007.7236</v>
      </c>
      <c r="AJ11" s="5" t="str">
        <f>IFERROR(__xludf.DUMMYFUNCTION("""COMPUTED_VALUE"""),"Nketiah is the best striker in the prem. Very good strikers play from Nketiah. Arsenal have deserved that. If there was a match between Arsenal and super strikers would Arsenal win oba🤔. Nketiah is the best 3rd striker in #FPL. Arsenal striker scored but"&amp;" it wasn’t Aubameyang???.")</f>
        <v>Nketiah is the best striker in the prem. Very good strikers play from Nketiah. Arsenal have deserved that. If there was a match between Arsenal and super strikers would Arsenal win oba🤔. Nketiah is the best 3rd striker in #FPL. Arsenal striker scored but it wasn’t Aubameyang???.</v>
      </c>
      <c r="AK11" s="39" t="s">
        <v>16</v>
      </c>
      <c r="AL11" s="40"/>
      <c r="AM11" s="5"/>
      <c r="AN11" s="5"/>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NOT(ISERROR($E5:DF5))))"),9.0)</f>
        <v>9</v>
      </c>
      <c r="D12" s="26">
        <f t="shared" si="63"/>
        <v>0.140625</v>
      </c>
      <c r="E12" s="40">
        <f>IFERROR(__xludf.DUMMYFUNCTION("""COMPUTED_VALUE"""),44007.716099537036)</f>
        <v>44007.7161</v>
      </c>
      <c r="F12" s="5" t="str">
        <f>IFERROR(__xludf.DUMMYFUNCTION("""COMPUTED_VALUE"""),"Nketiah scores but Saka had strayed just offside playing him in. Aubameyang should score that.. Will he get 50 before leaving? 😂. Arsenal need to behave, they want to score sha!😳😳. Missing you like Arsenal are missing the chances to score. Auba should "&amp;"have scored that #SOUARS.")</f>
        <v>Nketiah scores but Saka had strayed just offside playing him in. Aubameyang should score that.. Will he get 50 before leaving? 😂. Arsenal need to behave, they want to score sha!😳😳. Missing you like Arsenal are missing the chances to score. Auba should have scored that #SOUARS.</v>
      </c>
      <c r="G12" s="39" t="s">
        <v>18</v>
      </c>
      <c r="H12" s="40">
        <f>IFERROR(__xludf.DUMMYFUNCTION("""COMPUTED_VALUE"""),44007.715960648144)</f>
        <v>44007.71596</v>
      </c>
      <c r="I12" s="5" t="str">
        <f>IFERROR(__xludf.DUMMYFUNCTION("""COMPUTED_VALUE"""),"Aubz hits the bottom of the bar after a glorious ball from tierney fuck me. That was a great ball from Tierney. Super pass from Tierney but Aubameyang hit the cross bar with his shot. He was quite unlucky! Tierney what a pass 👏🏾 Auba should of finished "&amp;"that.")</f>
        <v>Aubz hits the bottom of the bar after a glorious ball from tierney fuck me. That was a great ball from Tierney. Super pass from Tierney but Aubameyang hit the cross bar with his shot. He was quite unlucky! Tierney what a pass 👏🏾 Auba should of finished that.</v>
      </c>
      <c r="J12" s="39" t="s">
        <v>18</v>
      </c>
      <c r="K12" s="40">
        <f>IFERROR(__xludf.DUMMYFUNCTION("""COMPUTED_VALUE"""),44007.781122685185)</f>
        <v>44007.78112</v>
      </c>
      <c r="L12" s="5" t="str">
        <f>IFERROR(__xludf.DUMMYFUNCTION("""COMPUTED_VALUE"""),"A RED CARD FOR THE OPPOSITION? VERSUS ARSENAL!? Miracles can happen in the refereeing game. VAR didn’t change that red card.. Stephens got the ball sha. Red card!. Southampton are down to 10 men after Stephens is sent off for fouling Aubameyang P-E. #SOUA"&amp;"RS 🔴⚪️ 0-1 🟡🟡 (85)")</f>
        <v>A RED CARD FOR THE OPPOSITION? VERSUS ARSENAL!? Miracles can happen in the refereeing game. VAR didn’t change that red card.. Stephens got the ball sha. Red card!. Southampton are down to 10 men after Stephens is sent off for fouling Aubameyang P-E. #SOUARS 🔴⚪️ 0-1 🟡🟡 (85)</v>
      </c>
      <c r="M12" s="39" t="s">
        <v>17</v>
      </c>
      <c r="N12" s="40">
        <f>IFERROR(__xludf.DUMMYFUNCTION("""COMPUTED_VALUE"""),44007.755023148144)</f>
        <v>44007.75502</v>
      </c>
      <c r="O12" s="5" t="str">
        <f>IFERROR(__xludf.DUMMYFUNCTION("""COMPUTED_VALUE"""),"Wtf injuring our player. That's a clear red for Saka. Saka sees yellow. Hopefully VAR leaves that be. That could be a red for the #Arsenal man. Should that be a red card for saka? wow. goes after the spurs player. Saka lucky not to get away with a red the"&amp;"re 😳.")</f>
        <v>Wtf injuring our player. That's a clear red for Saka. Saka sees yellow. Hopefully VAR leaves that be. That could be a red for the #Arsenal man. Should that be a red card for saka? wow. goes after the spurs player. Saka lucky not to get away with a red there 😳.</v>
      </c>
      <c r="P12" s="39" t="s">
        <v>17</v>
      </c>
      <c r="Q12" s="40">
        <f>IFERROR(__xludf.DUMMYFUNCTION("""COMPUTED_VALUE"""),44007.71909722222)</f>
        <v>44007.7191</v>
      </c>
      <c r="R12" s="5" t="str">
        <f>IFERROR(__xludf.DUMMYFUNCTION("""COMPUTED_VALUE"""),"Saka done his knee I’m fucking done. Southampton I’m on my knees. Physio has mask on while talking to injured Saka whereas on the touchline Arteta speaking to players without mask 😂. Another Arsenal player injured?. Better be taking the piss if Saka goes"&amp;" off injured.")</f>
        <v>Saka done his knee I’m fucking done. Southampton I’m on my knees. Physio has mask on while talking to injured Saka whereas on the touchline Arteta speaking to players without mask 😂. Another Arsenal player injured?. Better be taking the piss if Saka goes off injured.</v>
      </c>
      <c r="S12" s="39" t="s">
        <v>18</v>
      </c>
      <c r="T12" s="40">
        <f>IFERROR(__xludf.DUMMYFUNCTION("""COMPUTED_VALUE"""),44007.719247685185)</f>
        <v>44007.71925</v>
      </c>
      <c r="U12" s="5" t="str">
        <f>IFERROR(__xludf.DUMMYFUNCTION("""COMPUTED_VALUE"""),"I swear to jesus if saka is injured i may actually finally give up. If saka gets injured I’m finished with football. If Saka is injured here I'm never watching football again. Saka down. Stop the league!")</f>
        <v>I swear to jesus if saka is injured i may actually finally give up. If saka gets injured I’m finished with football. If Saka is injured here I'm never watching football again. Saka down. Stop the league!</v>
      </c>
      <c r="V12" s="39" t="s">
        <v>18</v>
      </c>
      <c r="W12" s="40">
        <f>IFERROR(__xludf.DUMMYFUNCTION("""COMPUTED_VALUE"""),44007.725543981476)</f>
        <v>44007.72554</v>
      </c>
      <c r="X12" s="5" t="str">
        <f>IFERROR(__xludf.DUMMYFUNCTION("""COMPUTED_VALUE"""),"Football is Bellerin’s second option lmao I’ll keep saying this. Man is a fashionista at heart. AMN needs to grow up take this Bellerin guys place. Bellerin needs to do better 🙄. Bellerin is half the player he was pre-injury. And a full time woke activis"&amp;"t. Shame.")</f>
        <v>Football is Bellerin’s second option lmao I’ll keep saying this. Man is a fashionista at heart. AMN needs to grow up take this Bellerin guys place. Bellerin needs to do better 🙄. Bellerin is half the player he was pre-injury. And a full time woke activist. Shame.</v>
      </c>
      <c r="Y12" s="39" t="s">
        <v>16</v>
      </c>
      <c r="Z12" s="40">
        <f>IFERROR(__xludf.DUMMYFUNCTION("""COMPUTED_VALUE"""),44007.77554398148)</f>
        <v>44007.77554</v>
      </c>
      <c r="AA12" s="5" t="str">
        <f>IFERROR(__xludf.DUMMYFUNCTION("""COMPUTED_VALUE"""),"North London are saved #SOUARS. Mesut Ozil is trying his best to keep cool down on the south coast! ☀☂. Good save #SOUARS 1-0. Brilliant save from Martinez to deny Long. Arsenal living dangerously now. 15 minutes to go. Cracking save by Martinez #AFC #SOU"&amp;"ARS. Great save Arsenal.")</f>
        <v>North London are saved #SOUARS. Mesut Ozil is trying his best to keep cool down on the south coast! ☀☂. Good save #SOUARS 1-0. Brilliant save from Martinez to deny Long. Arsenal living dangerously now. 15 minutes to go. Cracking save by Martinez #AFC #SOUARS. Great save Arsenal.</v>
      </c>
      <c r="AB12" s="39" t="s">
        <v>18</v>
      </c>
      <c r="AC12" s="40">
        <f>IFERROR(__xludf.DUMMYFUNCTION("""COMPUTED_VALUE"""),44007.75331018519)</f>
        <v>44007.75331</v>
      </c>
      <c r="AD12" s="5" t="str">
        <f>IFERROR(__xludf.DUMMYFUNCTION("""COMPUTED_VALUE"""),"We need to see that Long and Ings link up now #saintsfc. Ffs shane long hattrick incoming. Shane long ffs. Bellerin and ceballos have been arse, they need to improve massively. Shane long has entered ffs. I hate it already😭. FFS. Shane Long is gonna fini"&amp;"sh us.")</f>
        <v>We need to see that Long and Ings link up now #saintsfc. Ffs shane long hattrick incoming. Shane long ffs. Bellerin and ceballos have been arse, they need to improve massively. Shane long has entered ffs. I hate it already😭. FFS. Shane Long is gonna finish us.</v>
      </c>
      <c r="AE12" s="39" t="s">
        <v>17</v>
      </c>
      <c r="AF12" s="40">
        <f>IFERROR(__xludf.DUMMYFUNCTION("""COMPUTED_VALUE"""),44007.742430555554)</f>
        <v>44007.74243</v>
      </c>
      <c r="AG12" s="5" t="str">
        <f>IFERROR(__xludf.DUMMYFUNCTION("""COMPUTED_VALUE"""),"Half-time in the 6pm kick-offs: - Southampton 0-1 Arsenal. - Burnley 0-0 Watford. How's everyones bets looking at the break? 🤔. 🤔 The thinking behind our #SOUARS selection? Mikel Arteta gives an insight ahead of kick-off 👇. Ahead at the break. Let's ki"&amp;"ck on. 💪. #SOUARS.")</f>
        <v>Half-time in the 6pm kick-offs: - Southampton 0-1 Arsenal. - Burnley 0-0 Watford. How's everyones bets looking at the break? 🤔. 🤔 The thinking behind our #SOUARS selection? Mikel Arteta gives an insight ahead of kick-off 👇. Ahead at the break. Let's kick on. 💪. #SOUARS.</v>
      </c>
      <c r="AH12" s="39" t="s">
        <v>17</v>
      </c>
      <c r="AK12" s="5"/>
      <c r="AL12" s="40"/>
      <c r="AM12" s="5"/>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NOT(ISERROR($E6:DF6))))"),28.0)</f>
        <v>28</v>
      </c>
      <c r="D13" s="26">
        <f t="shared" si="63"/>
        <v>0.4375</v>
      </c>
      <c r="E13" s="40">
        <f>IFERROR(__xludf.DUMMYFUNCTION("""COMPUTED_VALUE"""),44007.77018518519)</f>
        <v>44007.77019</v>
      </c>
      <c r="F13" s="5" t="str">
        <f>IFERROR(__xludf.DUMMYFUNCTION("""COMPUTED_VALUE"""),"All Southampton at the moment looks like a matter time before they equalise #COYG. A lil bit surprised as how Southampton are yet to get an equaliser in this game. Southampton equaliser please! 🥺🤞🏼 #SOUARS.")</f>
        <v>All Southampton at the moment looks like a matter time before they equalise #COYG. A lil bit surprised as how Southampton are yet to get an equaliser in this game. Southampton equaliser please! 🥺🤞🏼 #SOUARS.</v>
      </c>
      <c r="G13" s="39" t="s">
        <v>16</v>
      </c>
      <c r="H13" s="40">
        <f>IFERROR(__xludf.DUMMYFUNCTION("""COMPUTED_VALUE"""),44007.72172453704)</f>
        <v>44007.72172</v>
      </c>
      <c r="I13" s="5" t="str">
        <f>IFERROR(__xludf.DUMMYFUNCTION("""COMPUTED_VALUE"""),"Our midfield has been fluent in its passes and we actually do pass forward. Xhaka is back. Can in just say that Tierney pass earlier was amazing. Can you do the arsenal battle pass thing in vip servers. Has ceballos ever played a pass like xhaka did to Sa"&amp;"ka in his life?")</f>
        <v>Our midfield has been fluent in its passes and we actually do pass forward. Xhaka is back. Can in just say that Tierney pass earlier was amazing. Can you do the arsenal battle pass thing in vip servers. Has ceballos ever played a pass like xhaka did to Saka in his life?</v>
      </c>
      <c r="J13" s="39" t="s">
        <v>18</v>
      </c>
      <c r="M13" s="5"/>
      <c r="N13" s="40">
        <f>IFERROR(__xludf.DUMMYFUNCTION("""COMPUTED_VALUE"""),44007.780590277776)</f>
        <v>44007.78059</v>
      </c>
      <c r="O13" s="5" t="str">
        <f>IFERROR(__xludf.DUMMYFUNCTION("""COMPUTED_VALUE"""),"Arsenal 9/2 for a 2-0 win before the the card, lovely stuff. Evryone is Arsenal is getting a red card, even their fans, why wouldn't I? It had to be a red card for Stephens. Arsenal made an opponent get a Red Card! Maaaaaaad! 😂 😂 😂. Finally we get a br"&amp;"eak. Red card to Southampton.")</f>
        <v>Arsenal 9/2 for a 2-0 win before the the card, lovely stuff. Evryone is Arsenal is getting a red card, even their fans, why wouldn't I? It had to be a red card for Stephens. Arsenal made an opponent get a Red Card! Maaaaaaad! 😂 😂 😂. Finally we get a break. Red card to Southampton.</v>
      </c>
      <c r="P13" s="39" t="s">
        <v>17</v>
      </c>
      <c r="Q13" s="40">
        <f>IFERROR(__xludf.DUMMYFUNCTION("""COMPUTED_VALUE"""),44007.72146990741)</f>
        <v>44007.72147</v>
      </c>
      <c r="R13" s="5" t="str">
        <f>IFERROR(__xludf.DUMMYFUNCTION("""COMPUTED_VALUE"""),"Take note Tottenham Arsenal #CFC. Only one team in London to win the European Cup 🏆🔵. Always the same you take Aubameyang out he looks sharp! #FPL. Why isn’t Pepe taking it. Ceballos takes too long to think. My goodness.")</f>
        <v>Take note Tottenham Arsenal #CFC. Only one team in London to win the European Cup 🏆🔵. Always the same you take Aubameyang out he looks sharp! #FPL. Why isn’t Pepe taking it. Ceballos takes too long to think. My goodness.</v>
      </c>
      <c r="S13" s="39" t="s">
        <v>15</v>
      </c>
      <c r="T13" s="40">
        <f>IFERROR(__xludf.DUMMYFUNCTION("""COMPUTED_VALUE"""),44007.72271990741)</f>
        <v>44007.72272</v>
      </c>
      <c r="U13" s="5" t="str">
        <f>IFERROR(__xludf.DUMMYFUNCTION("""COMPUTED_VALUE"""),"Hope saka doesn’t pull off some cr7 euro final vibes throughout this match. He looks in a lot of pain whoever he runs 😢. God let Southampton win make arsenal slander sweet tonight.. I’ve finally made the bench for Arsenal. Always knew I’d make it one day"&amp;".. Finally arsenal 💪🏽😅.")</f>
        <v>Hope saka doesn’t pull off some cr7 euro final vibes throughout this match. He looks in a lot of pain whoever he runs 😢. God let Southampton win make arsenal slander sweet tonight.. I’ve finally made the bench for Arsenal. Always knew I’d make it one day.. Finally arsenal 💪🏽😅.</v>
      </c>
      <c r="V13" s="39" t="s">
        <v>15</v>
      </c>
      <c r="W13" s="40">
        <f>IFERROR(__xludf.DUMMYFUNCTION("""COMPUTED_VALUE"""),44007.732719907406)</f>
        <v>44007.73272</v>
      </c>
      <c r="X13" s="5" t="str">
        <f>IFERROR(__xludf.DUMMYFUNCTION("""COMPUTED_VALUE"""),"Bellerin need fi guh model a lef man club Kmt. How many times has Bellerin lost the ball this half ffs. Bellerin has been awful this half I must say! Eddie Nketiah scored away against Burnley. Went on loan for half a season and came back and scored an awa"&amp;"y goal before Lacazette.")</f>
        <v>Bellerin need fi guh model a lef man club Kmt. How many times has Bellerin lost the ball this half ffs. Bellerin has been awful this half I must say! Eddie Nketiah scored away against Burnley. Went on loan for half a season and came back and scored an away goal before Lacazette.</v>
      </c>
      <c r="Y13" s="39" t="s">
        <v>18</v>
      </c>
      <c r="Z13" s="40">
        <f>IFERROR(__xludf.DUMMYFUNCTION("""COMPUTED_VALUE"""),44007.78388888889)</f>
        <v>44007.78389</v>
      </c>
      <c r="AA13" s="5" t="str">
        <f>IFERROR(__xludf.DUMMYFUNCTION("""COMPUTED_VALUE"""),"Willock saving me from ending it all! Mc Arthur is out there saving arsenal fan lives. Black Excellence saving Arsenal once again. Finally bellerin can save the planet 😂. 3000 trees. Arsenal saving the earth. Bellerin time to save the world. God save Ars"&amp;"enal.")</f>
        <v>Willock saving me from ending it all! Mc Arthur is out there saving arsenal fan lives. Black Excellence saving Arsenal once again. Finally bellerin can save the planet 😂. 3000 trees. Arsenal saving the earth. Bellerin time to save the world. God save Arsenal.</v>
      </c>
      <c r="AB13" s="39" t="s">
        <v>15</v>
      </c>
      <c r="AC13" s="40">
        <f>IFERROR(__xludf.DUMMYFUNCTION("""COMPUTED_VALUE"""),44007.766076388885)</f>
        <v>44007.76608</v>
      </c>
      <c r="AD13" s="5" t="str">
        <f>IFERROR(__xludf.DUMMYFUNCTION("""COMPUTED_VALUE"""),"Willock ffssssss. Willock ffs we're asking to lose. Joe Willock? Ffs. Ffs Mikel why Willock. What will willock do in this match ffs. Why is Willock coming on ffs. Pepe for willock this arteta dude is frauding a living. Oh ffs why is Willock playing so muc"&amp;"h. Willock on again ffs.")</f>
        <v>Willock ffssssss. Willock ffs we're asking to lose. Joe Willock? Ffs. Ffs Mikel why Willock. What will willock do in this match ffs. Why is Willock coming on ffs. Pepe for willock this arteta dude is frauding a living. Oh ffs why is Willock playing so much. Willock on again ffs.</v>
      </c>
      <c r="AE13" s="39" t="s">
        <v>17</v>
      </c>
      <c r="AF13" s="40">
        <f>IFERROR(__xludf.DUMMYFUNCTION("""COMPUTED_VALUE"""),44007.78238425926)</f>
        <v>44007.78238</v>
      </c>
      <c r="AG13" s="5" t="str">
        <f>IFERROR(__xludf.DUMMYFUNCTION("""COMPUTED_VALUE"""),"Very good shot from Lacazette to get that rebound for Willock. WILLOCK YOU LOVELY MANNNN. that laca shot. 🤤. Willock dey net where Auba dey ffs. Willock! 2-0!. Willock gets a goal as he tends to do at times.. Reacted well to Lacazette’s shot to secure th"&amp;"e deal.")</f>
        <v>Very good shot from Lacazette to get that rebound for Willock. WILLOCK YOU LOVELY MANNNN. that laca shot. 🤤. Willock dey net where Auba dey ffs. Willock! 2-0!. Willock gets a goal as he tends to do at times.. Reacted well to Lacazette’s shot to secure the deal.</v>
      </c>
      <c r="AH13" s="39" t="s">
        <v>17</v>
      </c>
      <c r="AK13" s="5"/>
      <c r="AL13" s="40"/>
      <c r="AM13" s="5"/>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NOT(ISERROR($E7:DF7))))"),20.0)</f>
        <v>20</v>
      </c>
      <c r="D14" s="26">
        <f t="shared" si="63"/>
        <v>0.3125</v>
      </c>
      <c r="E14" s="40">
        <f>IFERROR(__xludf.DUMMYFUNCTION("""COMPUTED_VALUE"""),44007.77701388889)</f>
        <v>44007.77701</v>
      </c>
      <c r="F14" s="5" t="str">
        <f>IFERROR(__xludf.DUMMYFUNCTION("""COMPUTED_VALUE"""),"We're waiting to concede before we make subs or have we subbed? Apart from Tierney? Won't be Arsenal if we were to concede then concede the way we scored. How hasn’t arsenal conceded ? 😶. Tierney goes off, Arsenal nearly concede. That is the goal Southam"&amp;"pton conceded? My goodness.")</f>
        <v>We're waiting to concede before we make subs or have we subbed? Apart from Tierney? Won't be Arsenal if we were to concede then concede the way we scored. How hasn’t arsenal conceded ? 😶. Tierney goes off, Arsenal nearly concede. That is the goal Southampton conceded? My goodness.</v>
      </c>
      <c r="G14" s="39" t="s">
        <v>17</v>
      </c>
      <c r="H14" s="40">
        <f>IFERROR(__xludf.DUMMYFUNCTION("""COMPUTED_VALUE"""),44007.72311342593)</f>
        <v>44007.72311</v>
      </c>
      <c r="I14" s="5" t="str">
        <f>IFERROR(__xludf.DUMMYFUNCTION("""COMPUTED_VALUE"""),"Lmaooo where was McCarthy passing to. McCarthy gets caught on the ball, Nketiah blocks his clearance and taps into an empty net. 1-0 to the Arsenal. Alex McCarthy appreciation tweet! 👏. The most vital of touches from Alex McCarthy to deny Aubameyang!.")</f>
        <v>Lmaooo where was McCarthy passing to. McCarthy gets caught on the ball, Nketiah blocks his clearance and taps into an empty net. 1-0 to the Arsenal. Alex McCarthy appreciation tweet! 👏. The most vital of touches from Alex McCarthy to deny Aubameyang!.</v>
      </c>
      <c r="J14" s="39" t="s">
        <v>17</v>
      </c>
      <c r="M14" s="5"/>
      <c r="P14" s="5"/>
      <c r="Q14" s="40">
        <f>IFERROR(__xludf.DUMMYFUNCTION("""COMPUTED_VALUE"""),44007.725810185184)</f>
        <v>44007.72581</v>
      </c>
      <c r="R14" s="5" t="str">
        <f>IFERROR(__xludf.DUMMYFUNCTION("""COMPUTED_VALUE"""),"AMN needs to grow up take this Bellerin guys place. Bellerin is half the player he was pre-injury. And a full time woke activist. Shame. Bellerin is one finished player. When there’s a defensive howler in the Arsenal game but it isn’t made by an Arsenal p"&amp;"layer.")</f>
        <v>AMN needs to grow up take this Bellerin guys place. Bellerin is half the player he was pre-injury. And a full time woke activist. Shame. Bellerin is one finished player. When there’s a defensive howler in the Arsenal game but it isn’t made by an Arsenal player.</v>
      </c>
      <c r="S14" s="39" t="s">
        <v>16</v>
      </c>
      <c r="T14" s="40">
        <f>IFERROR(__xludf.DUMMYFUNCTION("""COMPUTED_VALUE"""),44007.72578703704)</f>
        <v>44007.72579</v>
      </c>
      <c r="U14" s="5" t="str">
        <f>IFERROR(__xludf.DUMMYFUNCTION("""COMPUTED_VALUE"""),"Ole looking for Arsenal in the Premier League. Arsenal is leading.... Possibly winning this. 😎😎😎. Bellerin is an atrocious footballer. Bellerin is the worst right back in the league. Let’s call a spade a spade guys, since football restarted, Bellerin h"&amp;"as been straight trash.")</f>
        <v>Ole looking for Arsenal in the Premier League. Arsenal is leading.... Possibly winning this. 😎😎😎. Bellerin is an atrocious footballer. Bellerin is the worst right back in the league. Let’s call a spade a spade guys, since football restarted, Bellerin has been straight trash.</v>
      </c>
      <c r="V14" s="39" t="s">
        <v>18</v>
      </c>
      <c r="W14" s="40">
        <f>IFERROR(__xludf.DUMMYFUNCTION("""COMPUTED_VALUE"""),44007.73983796296)</f>
        <v>44007.73984</v>
      </c>
      <c r="X14" s="5" t="str">
        <f>IFERROR(__xludf.DUMMYFUNCTION("""COMPUTED_VALUE"""),"Saka has pocketed Valery this whole half. What a player! Would love to see Ozil on to start the second half. Its half time already, and Arsenal lead by 1 goal to nil. Arsenal need a midfielder who can get on the ball in the opposition half and make things"&amp;" happen.")</f>
        <v>Saka has pocketed Valery this whole half. What a player! Would love to see Ozil on to start the second half. Its half time already, and Arsenal lead by 1 goal to nil. Arsenal need a midfielder who can get on the ball in the opposition half and make things happen.</v>
      </c>
      <c r="Y14" s="39" t="s">
        <v>17</v>
      </c>
      <c r="AB14" s="5"/>
      <c r="AC14" s="40">
        <f>IFERROR(__xludf.DUMMYFUNCTION("""COMPUTED_VALUE"""),44007.77657407407)</f>
        <v>44007.77657</v>
      </c>
      <c r="AD14" s="5" t="str">
        <f>IFERROR(__xludf.DUMMYFUNCTION("""COMPUTED_VALUE"""),"Brilliant save from Martinez to deny Long. Arsenal living dangerously now. 15 minutes to go.")</f>
        <v>Brilliant save from Martinez to deny Long. Arsenal living dangerously now. 15 minutes to go.</v>
      </c>
      <c r="AE14" s="39" t="s">
        <v>18</v>
      </c>
      <c r="AH14" s="5"/>
      <c r="AK14" s="5"/>
      <c r="AL14" s="40"/>
      <c r="AM14" s="5"/>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64</v>
      </c>
      <c r="D15" s="26">
        <f t="shared" si="64"/>
        <v>1</v>
      </c>
      <c r="E15" s="40">
        <f>IFERROR(__xludf.DUMMYFUNCTION("""COMPUTED_VALUE"""),44007.781793981485)</f>
        <v>44007.78179</v>
      </c>
      <c r="F15" s="5" t="str">
        <f>IFERROR(__xludf.DUMMYFUNCTION("""COMPUTED_VALUE"""),"I was gonna say willock has been shit.... he really was until he scored. Eddie Willock as our goal scorers 🤟👏 love it 💪. Willock! 2-0!. Willock gets a goal as he tends to do at times.. Reacted well to Lacazette’s shot to secure the deal.")</f>
        <v>I was gonna say willock has been shit.... he really was until he scored. Eddie Willock as our goal scorers 🤟👏 love it 💪. Willock! 2-0!. Willock gets a goal as he tends to do at times.. Reacted well to Lacazette’s shot to secure the deal.</v>
      </c>
      <c r="G15" s="39" t="s">
        <v>17</v>
      </c>
      <c r="H15" s="40">
        <f>IFERROR(__xludf.DUMMYFUNCTION("""COMPUTED_VALUE"""),44007.72599537037)</f>
        <v>44007.726</v>
      </c>
      <c r="I15" s="5" t="str">
        <f>IFERROR(__xludf.DUMMYFUNCTION("""COMPUTED_VALUE"""),"Bellerin can’t seem to kick a ball these days. Bellerin has been so wasteful on the ball so far. Dear God ! The fuck has happened to Bellerin ?! Need to take him off. Not even 25 mins, already given the ball away 50 times. Does Bellerin know he can pass i"&amp;"t to Pepe if he wants?")</f>
        <v>Bellerin can’t seem to kick a ball these days. Bellerin has been so wasteful on the ball so far. Dear God ! The fuck has happened to Bellerin ?! Need to take him off. Not even 25 mins, already given the ball away 50 times. Does Bellerin know he can pass it to Pepe if he wants?</v>
      </c>
      <c r="J15" s="39" t="s">
        <v>18</v>
      </c>
      <c r="M15" s="5"/>
      <c r="P15" s="5"/>
      <c r="Q15" s="40">
        <f>IFERROR(__xludf.DUMMYFUNCTION("""COMPUTED_VALUE"""),44007.74408564815)</f>
        <v>44007.74409</v>
      </c>
      <c r="R15" s="5" t="str">
        <f>IFERROR(__xludf.DUMMYFUNCTION("""COMPUTED_VALUE"""),"I know Bellerin is taking the stick for his passes or rather the lack of them but he's been solid defensively. Take obafemi off. Take falery off. Djenepo and kwp on please. Or kiss this game goodbye. Southampton keeper on the take? Seems as such.")</f>
        <v>I know Bellerin is taking the stick for his passes or rather the lack of them but he's been solid defensively. Take obafemi off. Take falery off. Djenepo and kwp on please. Or kiss this game goodbye. Southampton keeper on the take? Seems as such.</v>
      </c>
      <c r="S15" s="39" t="s">
        <v>16</v>
      </c>
      <c r="T15" s="40">
        <f>IFERROR(__xludf.DUMMYFUNCTION("""COMPUTED_VALUE"""),44007.7268287037)</f>
        <v>44007.72683</v>
      </c>
      <c r="U15" s="5" t="str">
        <f>IFERROR(__xludf.DUMMYFUNCTION("""COMPUTED_VALUE"""),"Arsenal need to win this.., their fans have suffered enough! Eddie Nketiah with more away Premier League goals this evening than Lacazette has this season. Only Martin Dúbravka (5) has committed more errors leading to goals in the Premier League this seas"&amp;"on than Alex McCarthy (3).")</f>
        <v>Arsenal need to win this.., their fans have suffered enough! Eddie Nketiah with more away Premier League goals this evening than Lacazette has this season. Only Martin Dúbravka (5) has committed more errors leading to goals in the Premier League this season than Alex McCarthy (3).</v>
      </c>
      <c r="V15" s="39" t="s">
        <v>18</v>
      </c>
      <c r="W15" s="40">
        <f>IFERROR(__xludf.DUMMYFUNCTION("""COMPUTED_VALUE"""),44007.74177083334)</f>
        <v>44007.74177</v>
      </c>
      <c r="X15" s="5" t="str">
        <f>IFERROR(__xludf.DUMMYFUNCTION("""COMPUTED_VALUE"""),"Nketiah big chance! A second goal and I will be confident. Nketiah needs to explain himself. The fuck was that? This Nketiah boy needs Vaseline. Poor miss there, Nketiah you need to do better than that. Eddie Nketiah has justified his starting shirt this "&amp;"first half.")</f>
        <v>Nketiah big chance! A second goal and I will be confident. Nketiah needs to explain himself. The fuck was that? This Nketiah boy needs Vaseline. Poor miss there, Nketiah you need to do better than that. Eddie Nketiah has justified his starting shirt this first half.</v>
      </c>
      <c r="Y15" s="39" t="s">
        <v>14</v>
      </c>
      <c r="AB15" s="5"/>
      <c r="AC15" s="40">
        <f>IFERROR(__xludf.DUMMYFUNCTION("""COMPUTED_VALUE"""),44007.782071759255)</f>
        <v>44007.78207</v>
      </c>
      <c r="AD15" s="5" t="str">
        <f>IFERROR(__xludf.DUMMYFUNCTION("""COMPUTED_VALUE"""),"GOOOOOOOOOOLLLLLLLLLL! Southampton 0-2 Arsenal. (Willock 87’) #SOUARS. COME ON YOU GUNNERS 🟡🟡. Willock dey net where Auba dey ffs. Yesssss Willock. Shite free kick by Laca but he had a stinger off a rebound shot and Willock finishes it off. Or will he.."&amp;". offside?😅👀.")</f>
        <v>GOOOOOOOOOOLLLLLLLLLL! Southampton 0-2 Arsenal. (Willock 87’) #SOUARS. COME ON YOU GUNNERS 🟡🟡. Willock dey net where Auba dey ffs. Yesssss Willock. Shite free kick by Laca but he had a stinger off a rebound shot and Willock finishes it off. Or will he... offside?😅👀.</v>
      </c>
      <c r="AE15" s="39" t="s">
        <v>17</v>
      </c>
      <c r="AH15" s="5"/>
      <c r="AK15" s="5"/>
      <c r="AL15" s="40"/>
      <c r="AM15" s="5"/>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NOT(ISERROR($E8:DF8))))"),0.7428147609965792)</f>
        <v>0.742814761</v>
      </c>
      <c r="G16" s="5"/>
      <c r="H16" s="40">
        <f>IFERROR(__xludf.DUMMYFUNCTION("""COMPUTED_VALUE"""),44007.72790509259)</f>
        <v>44007.72791</v>
      </c>
      <c r="I16" s="5" t="str">
        <f>IFERROR(__xludf.DUMMYFUNCTION("""COMPUTED_VALUE"""),"Calm down Xhaka fan boys, he’s touched the ball twice. Has Pepe touched the ball yet? Err ings that touch was dirty. Has Pepe had a single touch? Alex McCarthy appreciation tweet! 👏. The most vital of touches from Alex McCarthy to deny Aubameyang!. That "&amp;"touch from Ings 😍.")</f>
        <v>Calm down Xhaka fan boys, he’s touched the ball twice. Has Pepe touched the ball yet? Err ings that touch was dirty. Has Pepe had a single touch? Alex McCarthy appreciation tweet! 👏. The most vital of touches from Alex McCarthy to deny Aubameyang!. That touch from Ings 😍.</v>
      </c>
      <c r="J16" s="39" t="s">
        <v>18</v>
      </c>
      <c r="M16" s="5"/>
      <c r="P16" s="5"/>
      <c r="Q16" s="40">
        <f>IFERROR(__xludf.DUMMYFUNCTION("""COMPUTED_VALUE"""),44007.7725)</f>
        <v>44007.7725</v>
      </c>
      <c r="R16" s="5" t="str">
        <f>IFERROR(__xludf.DUMMYFUNCTION("""COMPUTED_VALUE"""),"Really disappointed in Southampton here, this has been awful against an Arsenal team absolutely there for the taking. How this Willock take become a top flight footballer? Ozil is taking the piss out of Arsenal, my guy is just enjoying the weather 😂😂😂"&amp;"😂.")</f>
        <v>Really disappointed in Southampton here, this has been awful against an Arsenal team absolutely there for the taking. How this Willock take become a top flight footballer? Ozil is taking the piss out of Arsenal, my guy is just enjoying the weather 😂😂😂😂.</v>
      </c>
      <c r="S16" s="39" t="s">
        <v>18</v>
      </c>
      <c r="T16" s="40">
        <f>IFERROR(__xludf.DUMMYFUNCTION("""COMPUTED_VALUE"""),44007.729722222226)</f>
        <v>44007.72972</v>
      </c>
      <c r="U16" s="5" t="str">
        <f>IFERROR(__xludf.DUMMYFUNCTION("""COMPUTED_VALUE"""),"Arsenal are winning and DT is still so fucking angry😭. Arsenal win? DT angry. Arsenal draw? DT angry. Arsenal lose? DT angry. Hotel? Trivago. Xhaka will finally get a proper midfield partner. Tears on his eyes!.")</f>
        <v>Arsenal are winning and DT is still so fucking angry😭. Arsenal win? DT angry. Arsenal draw? DT angry. Arsenal lose? DT angry. Hotel? Trivago. Xhaka will finally get a proper midfield partner. Tears on his eyes!.</v>
      </c>
      <c r="V16" s="39" t="s">
        <v>15</v>
      </c>
      <c r="W16" s="40">
        <f>IFERROR(__xludf.DUMMYFUNCTION("""COMPUTED_VALUE"""),44007.746087962965)</f>
        <v>44007.74609</v>
      </c>
      <c r="X16" s="5" t="str">
        <f>IFERROR(__xludf.DUMMYFUNCTION("""COMPUTED_VALUE"""),"We need a better RB to get more out of Pepe. Arteta needs to do something about Ballerin, both in this match and the long term. Bellerin turns like tractor guy is finished AMN needs to be 1st choice RB. Eddie Nketiah gives Arsenal a 1-0 lead going in to t"&amp;"he break 🔴.")</f>
        <v>We need a better RB to get more out of Pepe. Arteta needs to do something about Ballerin, both in this match and the long term. Bellerin turns like tractor guy is finished AMN needs to be 1st choice RB. Eddie Nketiah gives Arsenal a 1-0 lead going in to the break 🔴.</v>
      </c>
      <c r="Y16" s="39" t="s">
        <v>16</v>
      </c>
      <c r="AB16" s="5"/>
      <c r="AE16" s="5"/>
      <c r="AH16" s="5"/>
      <c r="AK16" s="5"/>
      <c r="AL16" s="40"/>
      <c r="AM16" s="5"/>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0.75</v>
      </c>
      <c r="G17" s="5"/>
      <c r="H17" s="40">
        <f>IFERROR(__xludf.DUMMYFUNCTION("""COMPUTED_VALUE"""),44007.74474537037)</f>
        <v>44007.74475</v>
      </c>
      <c r="I17" s="5" t="str">
        <f>IFERROR(__xludf.DUMMYFUNCTION("""COMPUTED_VALUE"""),"We look much more cohesive with Xhaka in the midfield showing for the ball and popping it around. Important player despite his flaws.")</f>
        <v>We look much more cohesive with Xhaka in the midfield showing for the ball and popping it around. Important player despite his flaws.</v>
      </c>
      <c r="J17" s="39" t="s">
        <v>18</v>
      </c>
      <c r="M17" s="5"/>
      <c r="P17" s="5"/>
      <c r="Q17" s="40">
        <f>IFERROR(__xludf.DUMMYFUNCTION("""COMPUTED_VALUE"""),44007.78155092592)</f>
        <v>44007.78155</v>
      </c>
      <c r="R17" s="5" t="str">
        <f>IFERROR(__xludf.DUMMYFUNCTION("""COMPUTED_VALUE"""),"RED CARD! Jack Stephens has been sent off for being the last man and taking down Aubameyang. #SOUARS. Red One more player for Arsenal. A red card and it’s not a Arsenal player 😍. People that can still score this Arsenal team even if they have two player "&amp;"sent off 🙄.")</f>
        <v>RED CARD! Jack Stephens has been sent off for being the last man and taking down Aubameyang. #SOUARS. Red One more player for Arsenal. A red card and it’s not a Arsenal player 😍. People that can still score this Arsenal team even if they have two player sent off 🙄.</v>
      </c>
      <c r="S17" s="39" t="s">
        <v>17</v>
      </c>
      <c r="T17" s="40">
        <f>IFERROR(__xludf.DUMMYFUNCTION("""COMPUTED_VALUE"""),44007.73641203703)</f>
        <v>44007.73641</v>
      </c>
      <c r="U17" s="5" t="str">
        <f>IFERROR(__xludf.DUMMYFUNCTION("""COMPUTED_VALUE"""),"This is potentially the worst half of football I’ve ever seen bellerin play 💩. No wonder that Southampton have the worst home record in the league. Something about seeing arsenal win doesn’t seem right. Is Hector Bellerin the worst Right back in the Prem"&amp;"ier League ? #SOUARS.")</f>
        <v>This is potentially the worst half of football I’ve ever seen bellerin play 💩. No wonder that Southampton have the worst home record in the league. Something about seeing arsenal win doesn’t seem right. Is Hector Bellerin the worst Right back in the Premier League ? #SOUARS.</v>
      </c>
      <c r="V17" s="39" t="s">
        <v>16</v>
      </c>
      <c r="W17" s="40">
        <f>IFERROR(__xludf.DUMMYFUNCTION("""COMPUTED_VALUE"""),44007.753900462965)</f>
        <v>44007.7539</v>
      </c>
      <c r="X17" s="5" t="str">
        <f>IFERROR(__xludf.DUMMYFUNCTION("""COMPUTED_VALUE"""),"Sol Campbell “a second goal for Arsenal kills the game as a contest”. Shane Long coming on second half. Second half here we gooo #SOUARS. Second half underway. #Arsenal 1 - #Southampton 0. The Gunners need to see this one out. They need the points.")</f>
        <v>Sol Campbell “a second goal for Arsenal kills the game as a contest”. Shane Long coming on second half. Second half here we gooo #SOUARS. Second half underway. #Arsenal 1 - #Southampton 0. The Gunners need to see this one out. They need the points.</v>
      </c>
      <c r="Y17" s="39" t="s">
        <v>17</v>
      </c>
      <c r="AB17" s="5"/>
      <c r="AE17" s="5"/>
      <c r="AH17" s="5"/>
      <c r="AK17" s="5"/>
      <c r="AL17" s="40"/>
      <c r="AM17" s="5"/>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41" t="s">
        <v>675</v>
      </c>
      <c r="C18" s="33"/>
      <c r="D18" s="33"/>
      <c r="G18" s="5"/>
      <c r="H18" s="40">
        <f>IFERROR(__xludf.DUMMYFUNCTION("""COMPUTED_VALUE"""),44007.75976851852)</f>
        <v>44007.75977</v>
      </c>
      <c r="I18" s="5" t="str">
        <f>IFERROR(__xludf.DUMMYFUNCTION("""COMPUTED_VALUE"""),"Why is Aubameyang passing that. Insane touch from Aubameyang but that pass has to find a way 🤷‍♂️🤷‍♂️🤷‍♂️. What a touch that was from aubameyang. What a pass by Martinez and what a first touch by Auba. Shame that didn't end up at Nketiah's feet. What a"&amp;" ball by Martinez #SOUARS.")</f>
        <v>Why is Aubameyang passing that. Insane touch from Aubameyang but that pass has to find a way 🤷‍♂️🤷‍♂️🤷‍♂️. What a touch that was from aubameyang. What a pass by Martinez and what a first touch by Auba. Shame that didn't end up at Nketiah's feet. What a ball by Martinez #SOUARS.</v>
      </c>
      <c r="J18" s="39" t="s">
        <v>18</v>
      </c>
      <c r="M18" s="5"/>
      <c r="P18" s="5"/>
      <c r="S18" s="5"/>
      <c r="T18" s="40">
        <f>IFERROR(__xludf.DUMMYFUNCTION("""COMPUTED_VALUE"""),44007.74275462963)</f>
        <v>44007.74275</v>
      </c>
      <c r="U18" s="5" t="str">
        <f>IFERROR(__xludf.DUMMYFUNCTION("""COMPUTED_VALUE"""),"Half-time at St Marys Stadium Premier League Southampton FC 0-1 Arsenal. If Leeds started Nketiah and kept him for the season they would have won the league by now. Bamford is half the player. Dogshit half of football but we are ahead and I guess that is "&amp;"what matters. #SOUARS.")</f>
        <v>Half-time at St Marys Stadium Premier League Southampton FC 0-1 Arsenal. If Leeds started Nketiah and kept him for the season they would have won the league by now. Bamford is half the player. Dogshit half of football but we are ahead and I guess that is what matters. #SOUARS.</v>
      </c>
      <c r="V18" s="39" t="s">
        <v>17</v>
      </c>
      <c r="W18" s="40">
        <f>IFERROR(__xludf.DUMMYFUNCTION("""COMPUTED_VALUE"""),44007.7652662037)</f>
        <v>44007.76527</v>
      </c>
      <c r="X18" s="5" t="str">
        <f>IFERROR(__xludf.DUMMYFUNCTION("""COMPUTED_VALUE"""),"Arsenal are leading Southampton 🙆‍♂️. #SOUARS willock is the worst sub to come on now. Why’s he bringing on Willock when we need a fucking goal. Willock isn’t a bad sub tbh. But for who. Willock not Ozil? Omg man, Arteta needs to let go of that ego kmt.")</f>
        <v>Arsenal are leading Southampton 🙆‍♂️. #SOUARS willock is the worst sub to come on now. Why’s he bringing on Willock when we need a fucking goal. Willock isn’t a bad sub tbh. But for who. Willock not Ozil? Omg man, Arteta needs to let go of that ego kmt.</v>
      </c>
      <c r="Y18" s="39" t="s">
        <v>17</v>
      </c>
      <c r="AB18" s="5"/>
      <c r="AE18" s="5"/>
      <c r="AH18" s="5"/>
      <c r="AK18" s="5"/>
      <c r="AL18" s="40"/>
      <c r="AM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G19" s="5"/>
      <c r="H19" s="40">
        <f>IFERROR(__xludf.DUMMYFUNCTION("""COMPUTED_VALUE"""),44007.762291666666)</f>
        <v>44007.76229</v>
      </c>
      <c r="I19" s="5" t="str">
        <f>IFERROR(__xludf.DUMMYFUNCTION("""COMPUTED_VALUE"""),"Alan Smith on Emi Martinez’s pass to Aubameyang: “Ederson at Man City would’ve been pleased with that.” [Sky] #afc.")</f>
        <v>Alan Smith on Emi Martinez’s pass to Aubameyang: “Ederson at Man City would’ve been pleased with that.” [Sky] #afc.</v>
      </c>
      <c r="J19" s="39" t="s">
        <v>18</v>
      </c>
      <c r="M19" s="5"/>
      <c r="P19" s="5"/>
      <c r="S19" s="5"/>
      <c r="T19" s="40">
        <f>IFERROR(__xludf.DUMMYFUNCTION("""COMPUTED_VALUE"""),44007.77084490741)</f>
        <v>44007.77084</v>
      </c>
      <c r="U19" s="5" t="str">
        <f>IFERROR(__xludf.DUMMYFUNCTION("""COMPUTED_VALUE"""),"Tierney gets hurt more than my feelings. #SOUARS Premier League. Liverpool want Chelsea to win or draw. Man u want Chelsea to lose.. Arsenal are just confuse. Come on Chelsea 💙💙. Watching Arsenal play football is 2020 summed up. If Tierney is injured ag"&amp;"ain, I’m done with football.")</f>
        <v>Tierney gets hurt more than my feelings. #SOUARS Premier League. Liverpool want Chelsea to win or draw. Man u want Chelsea to lose.. Arsenal are just confuse. Come on Chelsea 💙💙. Watching Arsenal play football is 2020 summed up. If Tierney is injured again, I’m done with football.</v>
      </c>
      <c r="V19" s="39" t="s">
        <v>15</v>
      </c>
      <c r="W19" s="40">
        <f>IFERROR(__xludf.DUMMYFUNCTION("""COMPUTED_VALUE"""),44007.771875)</f>
        <v>44007.77188</v>
      </c>
      <c r="X19" s="5" t="str">
        <f>IFERROR(__xludf.DUMMYFUNCTION("""COMPUTED_VALUE"""),"A second sub now as KT leaves the pitch... ↩️ Kieran Tierney. 🔛 Sead Kolašinac. #SOUARS 🔴⚪️ 0-1 🟡🟡 (70).")</f>
        <v>A second sub now as KT leaves the pitch... ↩️ Kieran Tierney. 🔛 Sead Kolašinac. #SOUARS 🔴⚪️ 0-1 🟡🟡 (70).</v>
      </c>
      <c r="Y19" s="39" t="s">
        <v>17</v>
      </c>
      <c r="AB19" s="5"/>
      <c r="AE19" s="5"/>
      <c r="AH19" s="5"/>
      <c r="AK19" s="5"/>
      <c r="AL19" s="40"/>
      <c r="AM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6">
        <f>IFERROR(__xludf.DUMMYFUNCTION("IF(C20, COUNTIF(FILTER($D$26:$D1007, $A$26:$A1007=A20), TRUE)/C20, 0)"),1.0)</f>
        <v>1</v>
      </c>
      <c r="G20" s="5"/>
      <c r="H20" s="40">
        <f>IFERROR(__xludf.DUMMYFUNCTION("""COMPUTED_VALUE"""),44007.77927083333)</f>
        <v>44007.77927</v>
      </c>
      <c r="I20" s="5" t="str">
        <f>IFERROR(__xludf.DUMMYFUNCTION("""COMPUTED_VALUE"""),"What a pass by xhaka😷. Alan Smith on Martinez’s brilliant pass to Aubameyang: “Ederson at Man City would’ve been pleased with that.” #afc. Just when I was thinking Xhaka had changed our midfield he makes a horrific pass that kills our attack. Sums him up"&amp;" really.")</f>
        <v>What a pass by xhaka😷. Alan Smith on Martinez’s brilliant pass to Aubameyang: “Ederson at Man City would’ve been pleased with that.” #afc. Just when I was thinking Xhaka had changed our midfield he makes a horrific pass that kills our attack. Sums him up really.</v>
      </c>
      <c r="J20" s="39" t="s">
        <v>18</v>
      </c>
      <c r="M20" s="5"/>
      <c r="P20" s="5"/>
      <c r="S20" s="5"/>
      <c r="T20" s="40">
        <f>IFERROR(__xludf.DUMMYFUNCTION("""COMPUTED_VALUE"""),44007.77267361111)</f>
        <v>44007.77267</v>
      </c>
      <c r="U20" s="5" t="str">
        <f>IFERROR(__xludf.DUMMYFUNCTION("""COMPUTED_VALUE"""),"Is this willock a footballer at all ? 🥴🥴🥴🥴. How this Willock take become a top flight footballer? I get sad when I see Mezut Ozil, even if he is not at a football game. Happy to see arsenal winning cl. Come home to see arsenal winning??? Miracles do h"&amp;"appen.")</f>
        <v>Is this willock a footballer at all ? 🥴🥴🥴🥴. How this Willock take become a top flight footballer? I get sad when I see Mezut Ozil, even if he is not at a football game. Happy to see arsenal winning cl. Come home to see arsenal winning??? Miracles do happen.</v>
      </c>
      <c r="V20" s="39" t="s">
        <v>16</v>
      </c>
      <c r="W20" s="40">
        <f>IFERROR(__xludf.DUMMYFUNCTION("""COMPUTED_VALUE"""),44007.77346064815)</f>
        <v>44007.77346</v>
      </c>
      <c r="X20" s="5" t="str">
        <f>IFERROR(__xludf.DUMMYFUNCTION("""COMPUTED_VALUE"""),"Oyo Redmond wanted to score right from the first half naye waaaa.😂. Southampton with six shots to Arsenal's one in the second half. Arsenal better find that second goal... This 1-0 lead odikwa risky. Arsenal are leading 0-1. at the end of this game the s"&amp;"core will be 1-1.")</f>
        <v>Oyo Redmond wanted to score right from the first half naye waaaa.😂. Southampton with six shots to Arsenal's one in the second half. Arsenal better find that second goal... This 1-0 lead odikwa risky. Arsenal are leading 0-1. at the end of this game the score will be 1-1.</v>
      </c>
      <c r="Y20" s="39" t="s">
        <v>18</v>
      </c>
      <c r="AB20" s="5"/>
      <c r="AE20" s="5"/>
      <c r="AH20" s="5"/>
      <c r="AK20" s="5"/>
      <c r="AL20" s="40"/>
      <c r="AM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3</v>
      </c>
      <c r="D21" s="26">
        <f>IFERROR(__xludf.DUMMYFUNCTION("IF(C21, COUNTIF(FILTER($D$26:$D1007, $A$26:$A1007=A21), TRUE)/C21, 0)"),1.0)</f>
        <v>1</v>
      </c>
      <c r="G21" s="5"/>
      <c r="H21" s="40">
        <f>IFERROR(__xludf.DUMMYFUNCTION("""COMPUTED_VALUE"""),44007.78868055556)</f>
        <v>44007.78868</v>
      </c>
      <c r="I21" s="5" t="str">
        <f>IFERROR(__xludf.DUMMYFUNCTION("""COMPUTED_VALUE"""),"I swear to god Saka has aim it for crosses. 94: Saka's cross deflected for another Arsenal corner. 😇0-2🍌. #SOUARS. Saka’s crosses are soooo good. Rob Holding had a good with those crosses and over the top balls really well. Unreal cross from saka ffs, n"&amp;"eed him at the bridge.")</f>
        <v>I swear to god Saka has aim it for crosses. 94: Saka's cross deflected for another Arsenal corner. 😇0-2🍌. #SOUARS. Saka’s crosses are soooo good. Rob Holding had a good with those crosses and over the top balls really well. Unreal cross from saka ffs, need him at the bridge.</v>
      </c>
      <c r="J21" s="39" t="s">
        <v>18</v>
      </c>
      <c r="M21" s="5"/>
      <c r="P21" s="5"/>
      <c r="S21" s="5"/>
      <c r="T21" s="40">
        <f>IFERROR(__xludf.DUMMYFUNCTION("""COMPUTED_VALUE"""),44007.77784722223)</f>
        <v>44007.77785</v>
      </c>
      <c r="U21" s="5" t="str">
        <f>IFERROR(__xludf.DUMMYFUNCTION("""COMPUTED_VALUE"""),"Arsenal finally making moves post the hiatus 🙏🏼. Liverpool want Chelsea to win,Man United want man city to there is Arsenal 😂😂😂 #SOUARS. Bellerin finally getting to plant some trees. No way,we lose this now finally arsenal ffs. Willock fucking finall"&amp;"y man I can breathe easy.")</f>
        <v>Arsenal finally making moves post the hiatus 🙏🏼. Liverpool want Chelsea to win,Man United want man city to there is Arsenal 😂😂😂 #SOUARS. Bellerin finally getting to plant some trees. No way,we lose this now finally arsenal ffs. Willock fucking finally man I can breathe easy.</v>
      </c>
      <c r="V21" s="39" t="s">
        <v>15</v>
      </c>
      <c r="W21" s="40">
        <f>IFERROR(__xludf.DUMMYFUNCTION("""COMPUTED_VALUE"""),44007.7796875)</f>
        <v>44007.77969</v>
      </c>
      <c r="X21" s="5" t="str">
        <f>IFERROR(__xludf.DUMMYFUNCTION("""COMPUTED_VALUE"""),"Arsenal never hold ball since 2nd half... mini pep is doing wonders. Penalty fc fans wondering how arsenal is taking the lead.")</f>
        <v>Arsenal never hold ball since 2nd half... mini pep is doing wonders. Penalty fc fans wondering how arsenal is taking the lead.</v>
      </c>
      <c r="Y21" s="39" t="s">
        <v>18</v>
      </c>
      <c r="AB21" s="5"/>
      <c r="AE21" s="5"/>
      <c r="AH21" s="5"/>
      <c r="AK21" s="5"/>
      <c r="AL21" s="40"/>
      <c r="AM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0)"),0.75)</f>
        <v>0.75</v>
      </c>
      <c r="G22" s="5"/>
      <c r="J22" s="5"/>
      <c r="M22" s="5"/>
      <c r="P22" s="5"/>
      <c r="S22" s="5"/>
      <c r="V22" s="5"/>
      <c r="W22" s="40">
        <f>IFERROR(__xludf.DUMMYFUNCTION("""COMPUTED_VALUE"""),44007.782326388886)</f>
        <v>44007.78233</v>
      </c>
      <c r="X22" s="5" t="str">
        <f>IFERROR(__xludf.DUMMYFUNCTION("""COMPUTED_VALUE"""),"Arsenal have a 2 goal lead. I repeat Arsenal have a 2 goal lead. Enjoyed the build-up to this Arsenal's 2nd goal! 🔥. Willock on for Pepe is a bad sub 🥴🥴🥴🥴. GOAL! Joe Willock gives Arsenal a two-goal cushion, and surely three much-needed points.")</f>
        <v>Arsenal have a 2 goal lead. I repeat Arsenal have a 2 goal lead. Enjoyed the build-up to this Arsenal's 2nd goal! 🔥. Willock on for Pepe is a bad sub 🥴🥴🥴🥴. GOAL! Joe Willock gives Arsenal a two-goal cushion, and surely three much-needed points.</v>
      </c>
      <c r="Y22" s="39" t="s">
        <v>17</v>
      </c>
      <c r="AB22" s="5"/>
      <c r="AE22" s="5"/>
      <c r="AH22" s="5"/>
      <c r="AK22" s="5"/>
      <c r="AL22" s="40"/>
      <c r="AM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8</v>
      </c>
      <c r="D23" s="26">
        <f>IFERROR(__xludf.DUMMYFUNCTION("IF(C23, COUNTIF(FILTER($D$26:$D1007, $A$26:$A1007=A23), TRUE)/C23, 0)"),0.375)</f>
        <v>0.375</v>
      </c>
      <c r="G23" s="5"/>
      <c r="J23" s="5"/>
      <c r="M23" s="5"/>
      <c r="P23" s="5"/>
      <c r="S23" s="5"/>
      <c r="V23" s="5"/>
      <c r="W23" s="40">
        <f>IFERROR(__xludf.DUMMYFUNCTION("""COMPUTED_VALUE"""),44007.78983796296)</f>
        <v>44007.78984</v>
      </c>
      <c r="X23" s="5" t="str">
        <f>IFERROR(__xludf.DUMMYFUNCTION("""COMPUTED_VALUE"""),"FT: Southampton 0-2 Arsenal. xG:. TOP HALF!!!. Arsenal back into the top half? Eddie Nketiah scored away against Burnley. Went on loan for half a season and came back and scored an away goal before Lacazette. Points collected but poor show in 2nd half Ars"&amp;"enal Mikel Arteta.")</f>
        <v>FT: Southampton 0-2 Arsenal. xG:. TOP HALF!!!. Arsenal back into the top half? Eddie Nketiah scored away against Burnley. Went on loan for half a season and came back and scored an away goal before Lacazette. Points collected but poor show in 2nd half Arsenal Mikel Arteta.</v>
      </c>
      <c r="Y23" s="39" t="s">
        <v>17</v>
      </c>
      <c r="AB23" s="5"/>
      <c r="AE23" s="5"/>
      <c r="AH23" s="5"/>
      <c r="AK23" s="5"/>
      <c r="AL23" s="40"/>
      <c r="AM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18</v>
      </c>
      <c r="D24" s="26">
        <f>COUNTIF($D$26:$D1007, TRUE)/C24</f>
        <v>0.6666666667</v>
      </c>
      <c r="G24" s="5"/>
      <c r="J24" s="5"/>
      <c r="M24" s="5"/>
      <c r="P24" s="5"/>
      <c r="S24" s="5"/>
      <c r="V24" s="5"/>
      <c r="Y24" s="5"/>
      <c r="AB24" s="5"/>
      <c r="AE24" s="5"/>
      <c r="AH24" s="5"/>
      <c r="AK24" s="5"/>
      <c r="AL24" s="40"/>
      <c r="AM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G25" s="5"/>
      <c r="J25" s="5"/>
      <c r="M25" s="5"/>
      <c r="P25" s="5"/>
      <c r="S25" s="5"/>
      <c r="V25" s="5"/>
      <c r="Y25" s="5"/>
      <c r="AB25" s="5"/>
      <c r="AE25" s="5"/>
      <c r="AH25" s="5"/>
      <c r="AK25" s="5"/>
      <c r="AL25" s="40"/>
      <c r="AM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0</v>
      </c>
      <c r="G26" s="5"/>
      <c r="J26" s="5"/>
      <c r="M26" s="5"/>
      <c r="P26" s="5"/>
      <c r="S26" s="5"/>
      <c r="V26" s="5"/>
      <c r="Y26" s="5"/>
      <c r="AB26" s="5"/>
      <c r="AE26" s="5"/>
      <c r="AH26" s="5"/>
      <c r="AK26" s="5"/>
      <c r="AL26" s="40"/>
      <c r="AM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47</v>
      </c>
      <c r="B27" s="19" t="s">
        <v>676</v>
      </c>
      <c r="C27" s="21">
        <v>8.0</v>
      </c>
      <c r="D27" s="35" t="b">
        <v>1</v>
      </c>
      <c r="G27" s="5"/>
      <c r="J27" s="5"/>
      <c r="M27" s="5"/>
      <c r="P27" s="5"/>
      <c r="S27" s="5"/>
      <c r="V27" s="5"/>
      <c r="Y27" s="5"/>
      <c r="AB27" s="5"/>
      <c r="AE27" s="5"/>
      <c r="AH27" s="5"/>
      <c r="AK27" s="5"/>
      <c r="AL27" s="40"/>
      <c r="AM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49</v>
      </c>
      <c r="B28" s="19" t="s">
        <v>677</v>
      </c>
      <c r="C28" s="21">
        <v>11.0</v>
      </c>
      <c r="D28" s="35" t="b">
        <v>1</v>
      </c>
      <c r="G28" s="5"/>
      <c r="J28" s="5"/>
      <c r="M28" s="5"/>
      <c r="P28" s="5"/>
      <c r="S28" s="5"/>
      <c r="V28" s="5"/>
      <c r="Y28" s="5"/>
      <c r="AB28" s="5"/>
      <c r="AE28" s="5"/>
      <c r="AH28" s="5"/>
      <c r="AK28" s="5"/>
      <c r="AL28" s="40"/>
      <c r="AM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47</v>
      </c>
      <c r="B29" s="19" t="s">
        <v>678</v>
      </c>
      <c r="C29" s="21">
        <v>20.0</v>
      </c>
      <c r="D29" s="35" t="b">
        <v>1</v>
      </c>
      <c r="G29" s="5"/>
      <c r="J29" s="5"/>
      <c r="M29" s="5"/>
      <c r="P29" s="5"/>
      <c r="S29" s="5"/>
      <c r="V29" s="5"/>
      <c r="Y29" s="5"/>
      <c r="AB29" s="5"/>
      <c r="AE29" s="5"/>
      <c r="AH29" s="5"/>
      <c r="AK29" s="5"/>
      <c r="AL29" s="40"/>
      <c r="AM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51</v>
      </c>
      <c r="B30" s="19" t="s">
        <v>64</v>
      </c>
      <c r="C30" s="21">
        <v>45.0</v>
      </c>
      <c r="D30" s="35" t="b">
        <v>1</v>
      </c>
      <c r="G30" s="5"/>
      <c r="J30" s="5"/>
      <c r="M30" s="5"/>
      <c r="P30" s="5"/>
      <c r="S30" s="5"/>
      <c r="V30" s="5"/>
      <c r="Y30" s="5"/>
      <c r="AB30" s="5"/>
      <c r="AE30" s="5"/>
      <c r="AH30" s="5"/>
      <c r="AK30" s="5"/>
      <c r="AL30" s="40"/>
      <c r="AM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51</v>
      </c>
      <c r="B31" s="19" t="s">
        <v>65</v>
      </c>
      <c r="C31" s="21">
        <v>45.0</v>
      </c>
      <c r="D31" s="35" t="b">
        <v>1</v>
      </c>
      <c r="G31" s="5"/>
      <c r="J31" s="5"/>
      <c r="M31" s="5"/>
      <c r="P31" s="5"/>
      <c r="S31" s="5"/>
      <c r="V31" s="5"/>
      <c r="Y31" s="5"/>
      <c r="AB31" s="5"/>
      <c r="AE31" s="5"/>
      <c r="AH31" s="5"/>
      <c r="AK31" s="5"/>
      <c r="AL31" s="40"/>
      <c r="AM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53</v>
      </c>
      <c r="B32" s="42" t="s">
        <v>679</v>
      </c>
      <c r="C32" s="21">
        <v>46.0</v>
      </c>
      <c r="D32" s="35" t="b">
        <v>1</v>
      </c>
      <c r="G32" s="5"/>
      <c r="J32" s="5"/>
      <c r="M32" s="5"/>
      <c r="P32" s="5"/>
      <c r="S32" s="5"/>
      <c r="V32" s="5"/>
      <c r="Y32" s="5"/>
      <c r="AB32" s="5"/>
      <c r="AE32" s="5"/>
      <c r="AH32" s="5"/>
      <c r="AK32" s="5"/>
      <c r="AL32" s="40"/>
      <c r="AM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53</v>
      </c>
      <c r="B33" s="42" t="s">
        <v>680</v>
      </c>
      <c r="C33" s="21">
        <v>46.0</v>
      </c>
      <c r="D33" s="35" t="b">
        <v>0</v>
      </c>
      <c r="G33" s="5"/>
      <c r="J33" s="5"/>
      <c r="M33" s="5"/>
      <c r="P33" s="5"/>
      <c r="S33" s="5"/>
      <c r="V33" s="5"/>
      <c r="Y33" s="5"/>
      <c r="AB33" s="5"/>
      <c r="AE33" s="5"/>
      <c r="AH33" s="5"/>
      <c r="AK33" s="5"/>
      <c r="AL33" s="40"/>
      <c r="AM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49</v>
      </c>
      <c r="B34" s="42" t="s">
        <v>681</v>
      </c>
      <c r="C34" s="21">
        <v>47.0</v>
      </c>
      <c r="D34" s="35" t="b">
        <v>1</v>
      </c>
      <c r="G34" s="5"/>
      <c r="J34" s="5"/>
      <c r="M34" s="5"/>
      <c r="P34" s="5"/>
      <c r="S34" s="5"/>
      <c r="V34" s="5"/>
      <c r="Y34" s="5"/>
      <c r="AB34" s="5"/>
      <c r="AE34" s="5"/>
      <c r="AH34" s="5"/>
      <c r="AK34" s="5"/>
      <c r="AL34" s="40"/>
      <c r="AM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42" t="s">
        <v>682</v>
      </c>
      <c r="C35" s="21">
        <v>64.0</v>
      </c>
      <c r="D35" s="35" t="b">
        <v>1</v>
      </c>
      <c r="G35" s="5"/>
      <c r="J35" s="5"/>
      <c r="M35" s="5"/>
      <c r="P35" s="5"/>
      <c r="S35" s="5"/>
      <c r="V35" s="5"/>
      <c r="Y35" s="5"/>
      <c r="AB35" s="5"/>
      <c r="AE35" s="5"/>
      <c r="AH35" s="5"/>
      <c r="AK35" s="5"/>
      <c r="AL35" s="40"/>
      <c r="AM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42" t="s">
        <v>683</v>
      </c>
      <c r="C36" s="21">
        <v>70.0</v>
      </c>
      <c r="D36" s="35" t="b">
        <v>1</v>
      </c>
      <c r="G36" s="5"/>
      <c r="J36" s="5"/>
      <c r="M36" s="5"/>
      <c r="P36" s="5"/>
      <c r="S36" s="5"/>
      <c r="V36" s="5"/>
      <c r="Y36" s="5"/>
      <c r="AB36" s="5"/>
      <c r="AE36" s="5"/>
      <c r="AH36" s="5"/>
      <c r="AK36" s="5"/>
      <c r="AL36" s="40"/>
      <c r="AM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53</v>
      </c>
      <c r="B37" s="42" t="s">
        <v>684</v>
      </c>
      <c r="C37" s="21">
        <v>79.0</v>
      </c>
      <c r="D37" s="35" t="b">
        <v>0</v>
      </c>
      <c r="G37" s="5"/>
      <c r="J37" s="5"/>
      <c r="M37" s="5"/>
      <c r="P37" s="5"/>
      <c r="S37" s="5"/>
      <c r="V37" s="5"/>
      <c r="Y37" s="5"/>
      <c r="AB37" s="5"/>
      <c r="AE37" s="5"/>
      <c r="AH37" s="5"/>
      <c r="AK37" s="5"/>
      <c r="AL37" s="40"/>
      <c r="AM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42" t="s">
        <v>685</v>
      </c>
      <c r="C38" s="21">
        <v>80.0</v>
      </c>
      <c r="D38" s="35" t="b">
        <v>0</v>
      </c>
      <c r="G38" s="5"/>
      <c r="J38" s="5"/>
      <c r="M38" s="5"/>
      <c r="P38" s="5"/>
      <c r="S38" s="5"/>
      <c r="V38" s="5"/>
      <c r="Y38" s="5"/>
      <c r="AB38" s="5"/>
      <c r="AE38" s="5"/>
      <c r="AH38" s="5"/>
      <c r="AK38" s="5"/>
      <c r="AL38" s="40"/>
      <c r="AM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49</v>
      </c>
      <c r="B39" s="42" t="s">
        <v>686</v>
      </c>
      <c r="C39" s="21">
        <v>85.0</v>
      </c>
      <c r="D39" s="35" t="b">
        <v>1</v>
      </c>
      <c r="G39" s="5"/>
      <c r="J39" s="5"/>
      <c r="M39" s="5"/>
      <c r="P39" s="5"/>
      <c r="S39" s="5"/>
      <c r="V39" s="5"/>
      <c r="Y39" s="5"/>
      <c r="AB39" s="5"/>
      <c r="AE39" s="5"/>
      <c r="AH39" s="5"/>
      <c r="AK39" s="5"/>
      <c r="AL39" s="40"/>
      <c r="AM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t="s">
        <v>47</v>
      </c>
      <c r="B40" s="42" t="s">
        <v>687</v>
      </c>
      <c r="C40" s="21">
        <v>86.0</v>
      </c>
      <c r="D40" s="35" t="b">
        <v>1</v>
      </c>
      <c r="G40" s="5"/>
      <c r="J40" s="5"/>
      <c r="M40" s="5"/>
      <c r="P40" s="5"/>
      <c r="S40" s="5"/>
      <c r="V40" s="5"/>
      <c r="Y40" s="5"/>
      <c r="AB40" s="5"/>
      <c r="AE40" s="5"/>
      <c r="AH40" s="5"/>
      <c r="AK40" s="5"/>
      <c r="AL40" s="40"/>
      <c r="AM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A41" s="19" t="s">
        <v>53</v>
      </c>
      <c r="B41" s="42" t="s">
        <v>688</v>
      </c>
      <c r="C41" s="21">
        <v>90.0</v>
      </c>
      <c r="D41" s="35" t="b">
        <v>0</v>
      </c>
      <c r="G41" s="5"/>
      <c r="J41" s="5"/>
      <c r="M41" s="5"/>
      <c r="P41" s="5"/>
      <c r="S41" s="5"/>
      <c r="V41" s="5"/>
      <c r="Y41" s="5"/>
      <c r="AB41" s="5"/>
      <c r="AE41" s="5"/>
      <c r="AH41" s="5"/>
      <c r="AK41" s="5"/>
      <c r="AL41" s="40"/>
      <c r="AM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A42" s="19" t="s">
        <v>53</v>
      </c>
      <c r="B42" s="42" t="s">
        <v>689</v>
      </c>
      <c r="C42" s="21">
        <v>90.0</v>
      </c>
      <c r="D42" s="35" t="b">
        <v>0</v>
      </c>
      <c r="G42" s="5"/>
      <c r="J42" s="5"/>
      <c r="M42" s="5"/>
      <c r="P42" s="5"/>
      <c r="S42" s="5"/>
      <c r="V42" s="5"/>
      <c r="Y42" s="5"/>
      <c r="AB42" s="5"/>
      <c r="AE42" s="5"/>
      <c r="AH42" s="5"/>
      <c r="AK42" s="5"/>
      <c r="AL42" s="40"/>
      <c r="AM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A43" s="19" t="s">
        <v>51</v>
      </c>
      <c r="B43" s="42" t="s">
        <v>74</v>
      </c>
      <c r="C43" s="21">
        <v>90.0</v>
      </c>
      <c r="D43" s="35" t="b">
        <v>1</v>
      </c>
      <c r="G43" s="5"/>
      <c r="J43" s="5"/>
      <c r="M43" s="5"/>
      <c r="P43" s="5"/>
      <c r="S43" s="5"/>
      <c r="V43" s="5"/>
      <c r="Y43" s="5"/>
      <c r="AB43" s="5"/>
      <c r="AE43" s="5"/>
      <c r="AH43" s="5"/>
      <c r="AK43" s="5"/>
      <c r="AL43" s="40"/>
      <c r="AM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L44" s="40"/>
      <c r="AM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L45" s="40"/>
      <c r="AM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B46" s="36"/>
      <c r="C46" s="26"/>
      <c r="D46" s="19"/>
      <c r="G46" s="5"/>
      <c r="J46" s="5"/>
      <c r="M46" s="5"/>
      <c r="P46" s="5"/>
      <c r="S46" s="5"/>
      <c r="V46" s="5"/>
      <c r="Y46" s="5"/>
      <c r="AB46" s="5"/>
      <c r="AE46" s="5"/>
      <c r="AH46" s="5"/>
      <c r="AK46" s="5"/>
      <c r="AL46" s="40"/>
      <c r="AM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L47" s="40"/>
      <c r="AM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L48" s="40"/>
      <c r="AM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L49" s="40"/>
      <c r="AM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L50" s="40"/>
      <c r="AM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L51" s="40"/>
      <c r="AM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L52" s="40"/>
      <c r="AM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L53" s="40"/>
      <c r="AM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L54" s="40"/>
      <c r="AM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L55" s="40"/>
      <c r="AM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L56" s="40"/>
      <c r="AM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L57" s="40"/>
      <c r="AM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L58" s="40"/>
      <c r="AM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L59" s="40"/>
      <c r="AM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L60" s="40"/>
      <c r="AM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L61" s="40"/>
      <c r="AM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L62" s="40"/>
      <c r="AM62" s="5"/>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L63" s="40"/>
      <c r="AM63" s="5"/>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L64" s="40"/>
      <c r="AM64" s="5"/>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L65" s="40"/>
      <c r="AM65" s="5"/>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L66" s="40"/>
      <c r="AM66" s="5"/>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L67" s="40"/>
      <c r="AM67" s="5"/>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L68" s="40"/>
      <c r="AM68" s="5"/>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L69" s="40"/>
      <c r="AM69" s="5"/>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L70" s="40"/>
      <c r="AM70" s="5"/>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L71" s="40"/>
      <c r="AM71" s="5"/>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L72" s="40"/>
      <c r="AM72" s="5"/>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L73" s="40"/>
      <c r="AM73" s="5"/>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L74" s="40"/>
      <c r="AM74" s="5"/>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L75" s="40"/>
      <c r="AM75" s="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L76" s="40"/>
      <c r="AM76" s="5"/>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L77" s="40"/>
      <c r="AM77" s="5"/>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L78" s="40"/>
      <c r="AM78" s="5"/>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L79" s="40"/>
      <c r="AM79" s="5"/>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L80" s="40"/>
      <c r="AM80" s="5"/>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L81" s="40"/>
      <c r="AM81" s="5"/>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L82" s="40"/>
      <c r="AM82" s="5"/>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L83" s="40"/>
      <c r="AM83" s="5"/>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L84" s="40"/>
      <c r="AM84" s="5"/>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L85" s="40"/>
      <c r="AM85" s="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L86" s="40"/>
      <c r="AM86" s="5"/>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L87" s="40"/>
      <c r="AM87" s="5"/>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L88" s="40"/>
      <c r="AM88" s="5"/>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L89" s="40"/>
      <c r="AM89" s="5"/>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L90" s="40"/>
      <c r="AM90" s="5"/>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L91" s="40"/>
      <c r="AM91" s="5"/>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L92" s="40"/>
      <c r="AM92" s="5"/>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L93" s="40"/>
      <c r="AM93" s="5"/>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L94" s="40"/>
      <c r="AM94" s="5"/>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L95" s="40"/>
      <c r="AM95" s="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L96" s="40"/>
      <c r="AM96" s="5"/>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L97" s="40"/>
      <c r="AM97" s="5"/>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L98" s="40"/>
      <c r="AM98" s="5"/>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L99" s="40"/>
      <c r="AM99" s="5"/>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L100" s="40"/>
      <c r="AM100" s="5"/>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L101" s="40"/>
      <c r="AM101" s="5"/>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L102" s="40"/>
      <c r="AM102" s="5"/>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L103" s="40"/>
      <c r="AM103" s="5"/>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L104" s="40"/>
      <c r="AM104" s="5"/>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L105" s="40"/>
      <c r="AM105" s="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L106" s="40"/>
      <c r="AM106" s="5"/>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L107" s="40"/>
      <c r="AM107" s="5"/>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L108" s="40"/>
      <c r="AM108" s="5"/>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L109" s="40"/>
      <c r="AM109" s="5"/>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L110" s="40"/>
      <c r="AM110" s="5"/>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L111" s="40"/>
      <c r="AM111" s="5"/>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L112" s="40"/>
      <c r="AM112" s="5"/>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L113" s="40"/>
      <c r="AM113" s="5"/>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L114" s="40"/>
      <c r="AM114" s="5"/>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L115" s="40"/>
      <c r="AM115" s="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L116" s="40"/>
      <c r="AM116" s="5"/>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L117" s="40"/>
      <c r="AM117" s="5"/>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L118" s="40"/>
      <c r="AM118" s="5"/>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L119" s="40"/>
      <c r="AM119" s="5"/>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L120" s="40"/>
      <c r="AM120" s="5"/>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L121" s="40"/>
      <c r="AM121" s="5"/>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L122" s="40"/>
      <c r="AM122" s="5"/>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L123" s="40"/>
      <c r="AM123" s="5"/>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L124" s="40"/>
      <c r="AM124" s="5"/>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L125" s="40"/>
      <c r="AM125" s="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L126" s="40"/>
      <c r="AM126" s="5"/>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L127" s="40"/>
      <c r="AM127" s="5"/>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L128" s="40"/>
      <c r="AM128" s="5"/>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L129" s="40"/>
      <c r="AM129" s="5"/>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L130" s="40"/>
      <c r="AM130" s="5"/>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L131" s="40"/>
      <c r="AM131" s="5"/>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L132" s="40"/>
      <c r="AM132" s="5"/>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L133" s="40"/>
      <c r="AM133" s="5"/>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L134" s="40"/>
      <c r="AM134" s="5"/>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L135" s="40"/>
      <c r="AM135" s="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L136" s="40"/>
      <c r="AM136" s="5"/>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L137" s="40"/>
      <c r="AM137" s="5"/>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L138" s="40"/>
      <c r="AM138" s="5"/>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L139" s="40"/>
      <c r="AM139" s="5"/>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L140" s="40"/>
      <c r="AM140" s="5"/>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L141" s="40"/>
      <c r="AM141" s="5"/>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L142" s="40"/>
      <c r="AM142" s="5"/>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L143" s="40"/>
      <c r="AM143" s="5"/>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L144" s="40"/>
      <c r="AM144" s="5"/>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L145" s="40"/>
      <c r="AM145" s="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L146" s="40"/>
      <c r="AM146" s="5"/>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L147" s="40"/>
      <c r="AM147" s="5"/>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L148" s="40"/>
      <c r="AM148" s="5"/>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L149" s="40"/>
      <c r="AM149" s="5"/>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L150" s="40"/>
      <c r="AM150" s="5"/>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L151" s="40"/>
      <c r="AM151" s="5"/>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L152" s="40"/>
      <c r="AM152" s="5"/>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L153" s="40"/>
      <c r="AM153" s="5"/>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L154" s="40"/>
      <c r="AM154" s="5"/>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L155" s="40"/>
      <c r="AM155" s="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L156" s="40"/>
      <c r="AM156" s="5"/>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L157" s="40"/>
      <c r="AM157" s="5"/>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L158" s="40"/>
      <c r="AM158" s="5"/>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L159" s="40"/>
      <c r="AM159" s="5"/>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L160" s="40"/>
      <c r="AM160" s="5"/>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L161" s="40"/>
      <c r="AM161" s="5"/>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L162" s="40"/>
      <c r="AM162" s="5"/>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L163" s="40"/>
      <c r="AM163" s="5"/>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L164" s="40"/>
      <c r="AM164" s="5"/>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L165" s="40"/>
      <c r="AM165" s="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L166" s="40"/>
      <c r="AM166" s="5"/>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L167" s="40"/>
      <c r="AM167" s="5"/>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L168" s="40"/>
      <c r="AM168" s="5"/>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L169" s="40"/>
      <c r="AM169" s="5"/>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L170" s="40"/>
      <c r="AM170" s="5"/>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L171" s="40"/>
      <c r="AM171" s="5"/>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L172" s="40"/>
      <c r="AM172" s="5"/>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L173" s="40"/>
      <c r="AM173" s="5"/>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L174" s="40"/>
      <c r="AM174" s="5"/>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L175" s="40"/>
      <c r="AM175" s="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L176" s="40"/>
      <c r="AM176" s="5"/>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L177" s="40"/>
      <c r="AM177" s="5"/>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L178" s="40"/>
      <c r="AM178" s="5"/>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L179" s="40"/>
      <c r="AM179" s="5"/>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L180" s="40"/>
      <c r="AM180" s="5"/>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L181" s="40"/>
      <c r="AM181" s="5"/>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L182" s="40"/>
      <c r="AM182" s="5"/>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L183" s="40"/>
      <c r="AM183" s="5"/>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L184" s="40"/>
      <c r="AM184" s="5"/>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L185" s="40"/>
      <c r="AM185" s="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L186" s="40"/>
      <c r="AM186" s="5"/>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L187" s="40"/>
      <c r="AM187" s="5"/>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L188" s="40"/>
      <c r="AM188" s="5"/>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L189" s="40"/>
      <c r="AM189" s="5"/>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L190" s="40"/>
      <c r="AM190" s="5"/>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L191" s="40"/>
      <c r="AM191" s="5"/>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L192" s="40"/>
      <c r="AM192" s="5"/>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L193" s="40"/>
      <c r="AM193" s="5"/>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L194" s="40"/>
      <c r="AM194" s="5"/>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L195" s="40"/>
      <c r="AM195" s="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L196" s="40"/>
      <c r="AM196" s="5"/>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L197" s="40"/>
      <c r="AM197" s="5"/>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L198" s="40"/>
      <c r="AM198" s="5"/>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L199" s="40"/>
      <c r="AM199" s="5"/>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L200" s="40"/>
      <c r="AM200" s="5"/>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L201" s="40"/>
      <c r="AM201" s="5"/>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L202" s="40"/>
      <c r="AM202" s="5"/>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L203" s="40"/>
      <c r="AM203" s="5"/>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L204" s="40"/>
      <c r="AM204" s="5"/>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L205" s="40"/>
      <c r="AM205" s="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L206" s="40"/>
      <c r="AM206" s="5"/>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L207" s="40"/>
      <c r="AM207" s="5"/>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L208" s="40"/>
      <c r="AM208" s="5"/>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L209" s="40"/>
      <c r="AM209" s="5"/>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L210" s="40"/>
      <c r="AM210" s="5"/>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L211" s="40"/>
      <c r="AM211" s="5"/>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L212" s="40"/>
      <c r="AM212" s="5"/>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L213" s="40"/>
      <c r="AM213" s="5"/>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L214" s="40"/>
      <c r="AM214" s="5"/>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L215" s="40"/>
      <c r="AM215" s="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L216" s="40"/>
      <c r="AM216" s="5"/>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L217" s="40"/>
      <c r="AM217" s="5"/>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L218" s="40"/>
      <c r="AM218" s="5"/>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L219" s="40"/>
      <c r="AM219" s="5"/>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L220" s="40"/>
      <c r="AM220" s="5"/>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L221" s="40"/>
      <c r="AM221" s="5"/>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L222" s="40"/>
      <c r="AM222" s="5"/>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L223" s="40"/>
      <c r="AM223" s="5"/>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L224" s="40"/>
      <c r="AM224" s="5"/>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L225" s="40"/>
      <c r="AM225" s="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L226" s="40"/>
      <c r="AM226" s="5"/>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L227" s="40"/>
      <c r="AM227" s="5"/>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L228" s="40"/>
      <c r="AM228" s="5"/>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L229" s="40"/>
      <c r="AM229" s="5"/>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L230" s="40"/>
      <c r="AM230" s="5"/>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L231" s="40"/>
      <c r="AM231" s="5"/>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L232" s="40"/>
      <c r="AM232" s="5"/>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L233" s="40"/>
      <c r="AM233" s="5"/>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L234" s="40"/>
      <c r="AM234" s="5"/>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L235" s="40"/>
      <c r="AM235" s="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L236" s="40"/>
      <c r="AM236" s="5"/>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L237" s="40"/>
      <c r="AM237" s="5"/>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L238" s="40"/>
      <c r="AM238" s="5"/>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L239" s="40"/>
      <c r="AM239" s="5"/>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L240" s="40"/>
      <c r="AM240" s="5"/>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L241" s="40"/>
      <c r="AM241" s="5"/>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L242" s="40"/>
      <c r="AM242" s="5"/>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L243" s="40"/>
      <c r="AM243" s="5"/>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L244" s="40"/>
      <c r="AM244" s="5"/>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L245" s="40"/>
      <c r="AM245" s="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L246" s="40"/>
      <c r="AM246" s="5"/>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L247" s="40"/>
      <c r="AM247" s="5"/>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L248" s="40"/>
      <c r="AM248" s="5"/>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L249" s="40"/>
      <c r="AM249" s="5"/>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L250" s="40"/>
      <c r="AM250" s="5"/>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L251" s="40"/>
      <c r="AM251" s="5"/>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L252" s="40"/>
      <c r="AM252" s="5"/>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L253" s="40"/>
      <c r="AM253" s="5"/>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L254" s="40"/>
      <c r="AM254" s="5"/>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L255" s="40"/>
      <c r="AM255" s="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L256" s="40"/>
      <c r="AM256" s="5"/>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L257" s="40"/>
      <c r="AM257" s="5"/>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L258" s="40"/>
      <c r="AM258" s="5"/>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L259" s="40"/>
      <c r="AM259" s="5"/>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L260" s="40"/>
      <c r="AM260" s="5"/>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L261" s="40"/>
      <c r="AM261" s="5"/>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L262" s="40"/>
      <c r="AM262" s="5"/>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L263" s="40"/>
      <c r="AM263" s="5"/>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L264" s="40"/>
      <c r="AM264" s="5"/>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L265" s="40"/>
      <c r="AM265" s="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L266" s="40"/>
      <c r="AM266" s="5"/>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L267" s="40"/>
      <c r="AM267" s="5"/>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L268" s="40"/>
      <c r="AM268" s="5"/>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L269" s="40"/>
      <c r="AM269" s="5"/>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L270" s="40"/>
      <c r="AM270" s="5"/>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L271" s="40"/>
      <c r="AM271" s="5"/>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L272" s="40"/>
      <c r="AM272" s="5"/>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L273" s="40"/>
      <c r="AM273" s="5"/>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L274" s="40"/>
      <c r="AM274" s="5"/>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L275" s="40"/>
      <c r="AM275" s="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L276" s="40"/>
      <c r="AM276" s="5"/>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L277" s="40"/>
      <c r="AM277" s="5"/>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L278" s="40"/>
      <c r="AM278" s="5"/>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L279" s="40"/>
      <c r="AM279" s="5"/>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L280" s="40"/>
      <c r="AM280" s="5"/>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L281" s="40"/>
      <c r="AM281" s="5"/>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L282" s="40"/>
      <c r="AM282" s="5"/>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L283" s="40"/>
      <c r="AM283" s="5"/>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L284" s="40"/>
      <c r="AM284" s="5"/>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L285" s="40"/>
      <c r="AM285" s="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L286" s="40"/>
      <c r="AM286" s="5"/>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L287" s="40"/>
      <c r="AM287" s="5"/>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L288" s="40"/>
      <c r="AM288" s="5"/>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L289" s="40"/>
      <c r="AM289" s="5"/>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L290" s="40"/>
      <c r="AM290" s="5"/>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L291" s="40"/>
      <c r="AM291" s="5"/>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L292" s="40"/>
      <c r="AM292" s="5"/>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L293" s="40"/>
      <c r="AM293" s="5"/>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L294" s="40"/>
      <c r="AM294" s="5"/>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L295" s="40"/>
      <c r="AM295" s="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L296" s="40"/>
      <c r="AM296" s="5"/>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L297" s="40"/>
      <c r="AM297" s="5"/>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L298" s="40"/>
      <c r="AM298" s="5"/>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L299" s="40"/>
      <c r="AM299" s="5"/>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L300" s="40"/>
      <c r="AM300" s="5"/>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L301" s="40"/>
      <c r="AM301" s="5"/>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L302" s="40"/>
      <c r="AM302" s="5"/>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L303" s="40"/>
      <c r="AM303" s="5"/>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L304" s="40"/>
      <c r="AM304" s="5"/>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L305" s="40"/>
      <c r="AM305" s="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L306" s="40"/>
      <c r="AM306" s="5"/>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L307" s="40"/>
      <c r="AM307" s="5"/>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L308" s="40"/>
      <c r="AM308" s="5"/>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L309" s="40"/>
      <c r="AM309" s="5"/>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L310" s="40"/>
      <c r="AM310" s="5"/>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L311" s="40"/>
      <c r="AM311" s="5"/>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L312" s="40"/>
      <c r="AM312" s="5"/>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L313" s="40"/>
      <c r="AM313" s="5"/>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L314" s="40"/>
      <c r="AM314" s="5"/>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L315" s="40"/>
      <c r="AM315" s="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L316" s="40"/>
      <c r="AM316" s="5"/>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L317" s="40"/>
      <c r="AM317" s="5"/>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L318" s="40"/>
      <c r="AM318" s="5"/>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L319" s="40"/>
      <c r="AM319" s="5"/>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L320" s="40"/>
      <c r="AM320" s="5"/>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L321" s="40"/>
      <c r="AM321" s="5"/>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L322" s="40"/>
      <c r="AM322" s="5"/>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L323" s="40"/>
      <c r="AM323" s="5"/>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L324" s="40"/>
      <c r="AM324" s="5"/>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L325" s="40"/>
      <c r="AM325" s="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L326" s="40"/>
      <c r="AM326" s="5"/>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L327" s="40"/>
      <c r="AM327" s="5"/>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L328" s="40"/>
      <c r="AM328" s="5"/>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L329" s="40"/>
      <c r="AM329" s="5"/>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L330" s="40"/>
      <c r="AM330" s="5"/>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L331" s="40"/>
      <c r="AM331" s="5"/>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L332" s="40"/>
      <c r="AM332" s="5"/>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L333" s="40"/>
      <c r="AM333" s="5"/>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L334" s="40"/>
      <c r="AM334" s="5"/>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L335" s="40"/>
      <c r="AM335" s="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L336" s="40"/>
      <c r="AM336" s="5"/>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L337" s="40"/>
      <c r="AM337" s="5"/>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L338" s="40"/>
      <c r="AM338" s="5"/>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L339" s="40"/>
      <c r="AM339" s="5"/>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L340" s="40"/>
      <c r="AM340" s="5"/>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L341" s="40"/>
      <c r="AM341" s="5"/>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L342" s="40"/>
      <c r="AM342" s="5"/>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L343" s="40"/>
      <c r="AM343" s="5"/>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L344" s="40"/>
      <c r="AM344" s="5"/>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L345" s="40"/>
      <c r="AM345" s="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L346" s="40"/>
      <c r="AM346" s="5"/>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L347" s="40"/>
      <c r="AM347" s="5"/>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L348" s="40"/>
      <c r="AM348" s="5"/>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L349" s="40"/>
      <c r="AM349" s="5"/>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L350" s="40"/>
      <c r="AM350" s="5"/>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L351" s="40"/>
      <c r="AM351" s="5"/>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L352" s="40"/>
      <c r="AM352" s="5"/>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L353" s="40"/>
      <c r="AM353" s="5"/>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L354" s="40"/>
      <c r="AM354" s="5"/>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L355" s="40"/>
      <c r="AM355" s="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L356" s="40"/>
      <c r="AM356" s="5"/>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L357" s="40"/>
      <c r="AM357" s="5"/>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L358" s="40"/>
      <c r="AM358" s="5"/>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L359" s="40"/>
      <c r="AM359" s="5"/>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L360" s="40"/>
      <c r="AM360" s="5"/>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L361" s="40"/>
      <c r="AM361" s="5"/>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L362" s="40"/>
      <c r="AM362" s="5"/>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L363" s="40"/>
      <c r="AM363" s="5"/>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L364" s="40"/>
      <c r="AM364" s="5"/>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L365" s="40"/>
      <c r="AM365" s="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L366" s="40"/>
      <c r="AM366" s="5"/>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L367" s="40"/>
      <c r="AM367" s="5"/>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L368" s="40"/>
      <c r="AM368" s="5"/>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L369" s="40"/>
      <c r="AM369" s="5"/>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L370" s="40"/>
      <c r="AM370" s="5"/>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L371" s="40"/>
      <c r="AM371" s="5"/>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L372" s="40"/>
      <c r="AM372" s="5"/>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L373" s="40"/>
      <c r="AM373" s="5"/>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L374" s="40"/>
      <c r="AM374" s="5"/>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L375" s="40"/>
      <c r="AM375" s="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L376" s="40"/>
      <c r="AM376" s="5"/>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L377" s="40"/>
      <c r="AM377" s="5"/>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L378" s="40"/>
      <c r="AM378" s="5"/>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L379" s="40"/>
      <c r="AM379" s="5"/>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L380" s="40"/>
      <c r="AM380" s="5"/>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L381" s="40"/>
      <c r="AM381" s="5"/>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L382" s="40"/>
      <c r="AM382" s="5"/>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L383" s="40"/>
      <c r="AM383" s="5"/>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L384" s="40"/>
      <c r="AM384" s="5"/>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L385" s="40"/>
      <c r="AM385" s="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L386" s="40"/>
      <c r="AM386" s="5"/>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L387" s="40"/>
      <c r="AM387" s="5"/>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L388" s="40"/>
      <c r="AM388" s="5"/>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L389" s="40"/>
      <c r="AM389" s="5"/>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L390" s="40"/>
      <c r="AM390" s="5"/>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L391" s="40"/>
      <c r="AM391" s="5"/>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L392" s="40"/>
      <c r="AM392" s="5"/>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L393" s="40"/>
      <c r="AM393" s="5"/>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L394" s="40"/>
      <c r="AM394" s="5"/>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L395" s="40"/>
      <c r="AM395" s="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L396" s="40"/>
      <c r="AM396" s="5"/>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L397" s="40"/>
      <c r="AM397" s="5"/>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L398" s="40"/>
      <c r="AM398" s="5"/>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L399" s="40"/>
      <c r="AM399" s="5"/>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L400" s="40"/>
      <c r="AM400" s="5"/>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L401" s="40"/>
      <c r="AM401" s="5"/>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L402" s="40"/>
      <c r="AM402" s="5"/>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L403" s="40"/>
      <c r="AM403" s="5"/>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L404" s="40"/>
      <c r="AM404" s="5"/>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L405" s="40"/>
      <c r="AM405" s="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L406" s="40"/>
      <c r="AM406" s="5"/>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L407" s="40"/>
      <c r="AM407" s="5"/>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L408" s="40"/>
      <c r="AM408" s="5"/>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L409" s="40"/>
      <c r="AM409" s="5"/>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L410" s="40"/>
      <c r="AM410" s="5"/>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L411" s="40"/>
      <c r="AM411" s="5"/>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L412" s="40"/>
      <c r="AM412" s="5"/>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L413" s="40"/>
      <c r="AM413" s="5"/>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L414" s="40"/>
      <c r="AM414" s="5"/>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L415" s="40"/>
      <c r="AM415" s="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L416" s="40"/>
      <c r="AM416" s="5"/>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L417" s="40"/>
      <c r="AM417" s="5"/>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L418" s="40"/>
      <c r="AM418" s="5"/>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L419" s="40"/>
      <c r="AM419" s="5"/>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L420" s="40"/>
      <c r="AM420" s="5"/>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L421" s="40"/>
      <c r="AM421" s="5"/>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L422" s="40"/>
      <c r="AM422" s="5"/>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L423" s="40"/>
      <c r="AM423" s="5"/>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L424" s="40"/>
      <c r="AM424" s="5"/>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L425" s="40"/>
      <c r="AM425" s="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L426" s="40"/>
      <c r="AM426" s="5"/>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L427" s="40"/>
      <c r="AM427" s="5"/>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L428" s="40"/>
      <c r="AM428" s="5"/>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L429" s="40"/>
      <c r="AM429" s="5"/>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L430" s="40"/>
      <c r="AM430" s="5"/>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L431" s="40"/>
      <c r="AM431" s="5"/>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L432" s="40"/>
      <c r="AM432" s="5"/>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L433" s="40"/>
      <c r="AM433" s="5"/>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L434" s="40"/>
      <c r="AM434" s="5"/>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L435" s="40"/>
      <c r="AM435" s="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L436" s="40"/>
      <c r="AM436" s="5"/>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L437" s="40"/>
      <c r="AM437" s="5"/>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L438" s="40"/>
      <c r="AM438" s="5"/>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L439" s="40"/>
      <c r="AM439" s="5"/>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L440" s="40"/>
      <c r="AM440" s="5"/>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L441" s="40"/>
      <c r="AM441" s="5"/>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L442" s="40"/>
      <c r="AM442" s="5"/>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L443" s="40"/>
      <c r="AM443" s="5"/>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L444" s="40"/>
      <c r="AM444" s="5"/>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L445" s="40"/>
      <c r="AM445" s="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L446" s="40"/>
      <c r="AM446" s="5"/>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L447" s="40"/>
      <c r="AM447" s="5"/>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L448" s="40"/>
      <c r="AM448" s="5"/>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L449" s="40"/>
      <c r="AM449" s="5"/>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L450" s="40"/>
      <c r="AM450" s="5"/>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L451" s="40"/>
      <c r="AM451" s="5"/>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L452" s="40"/>
      <c r="AM452" s="5"/>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L453" s="40"/>
      <c r="AM453" s="5"/>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L454" s="40"/>
      <c r="AM454" s="5"/>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L455" s="40"/>
      <c r="AM455" s="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L456" s="40"/>
      <c r="AM456" s="5"/>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L457" s="40"/>
      <c r="AM457" s="5"/>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L458" s="40"/>
      <c r="AM458" s="5"/>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L459" s="40"/>
      <c r="AM459" s="5"/>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L460" s="40"/>
      <c r="AM460" s="5"/>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L461" s="40"/>
      <c r="AM461" s="5"/>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L462" s="40"/>
      <c r="AM462" s="5"/>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L463" s="40"/>
      <c r="AM463" s="5"/>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L464" s="40"/>
      <c r="AM464" s="5"/>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L465" s="40"/>
      <c r="AM465" s="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L466" s="40"/>
      <c r="AM466" s="5"/>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L467" s="40"/>
      <c r="AM467" s="5"/>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L468" s="40"/>
      <c r="AM468" s="5"/>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L469" s="40"/>
      <c r="AM469" s="5"/>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L470" s="40"/>
      <c r="AM470" s="5"/>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L471" s="40"/>
      <c r="AM471" s="5"/>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L472" s="40"/>
      <c r="AM472" s="5"/>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L473" s="40"/>
      <c r="AM473" s="5"/>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L474" s="40"/>
      <c r="AM474" s="5"/>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L475" s="40"/>
      <c r="AM475" s="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L476" s="40"/>
      <c r="AM476" s="5"/>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L477" s="40"/>
      <c r="AM477" s="5"/>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L478" s="40"/>
      <c r="AM478" s="5"/>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L479" s="40"/>
      <c r="AM479" s="5"/>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L480" s="40"/>
      <c r="AM480" s="5"/>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L481" s="40"/>
      <c r="AM481" s="5"/>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L482" s="40"/>
      <c r="AM482" s="5"/>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L483" s="40"/>
      <c r="AM483" s="5"/>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L484" s="40"/>
      <c r="AM484" s="5"/>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L485" s="40"/>
      <c r="AM485" s="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L486" s="40"/>
      <c r="AM486" s="5"/>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L487" s="40"/>
      <c r="AM487" s="5"/>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L488" s="40"/>
      <c r="AM488" s="5"/>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L489" s="40"/>
      <c r="AM489" s="5"/>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L490" s="40"/>
      <c r="AM490" s="5"/>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L491" s="40"/>
      <c r="AM491" s="5"/>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L492" s="40"/>
      <c r="AM492" s="5"/>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L493" s="40"/>
      <c r="AM493" s="5"/>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L494" s="40"/>
      <c r="AM494" s="5"/>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L495" s="40"/>
      <c r="AM495" s="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L496" s="40"/>
      <c r="AM496" s="5"/>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L497" s="40"/>
      <c r="AM497" s="5"/>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L498" s="40"/>
      <c r="AM498" s="5"/>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L499" s="40"/>
      <c r="AM499" s="5"/>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L500" s="40"/>
      <c r="AM500" s="5"/>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L501" s="40"/>
      <c r="AM501" s="5"/>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L502" s="40"/>
      <c r="AM502" s="5"/>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L503" s="40"/>
      <c r="AM503" s="5"/>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L504" s="40"/>
      <c r="AM504" s="5"/>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L505" s="40"/>
      <c r="AM505" s="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L506" s="40"/>
      <c r="AM506" s="5"/>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L507" s="40"/>
      <c r="AM507" s="5"/>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L508" s="40"/>
      <c r="AM508" s="5"/>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L509" s="40"/>
      <c r="AM509" s="5"/>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L510" s="40"/>
      <c r="AM510" s="5"/>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L511" s="40"/>
      <c r="AM511" s="5"/>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L512" s="40"/>
      <c r="AM512" s="5"/>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L513" s="40"/>
      <c r="AM513" s="5"/>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L514" s="40"/>
      <c r="AM514" s="5"/>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L515" s="40"/>
      <c r="AM515" s="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L516" s="40"/>
      <c r="AM516" s="5"/>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L517" s="40"/>
      <c r="AM517" s="5"/>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L518" s="40"/>
      <c r="AM518" s="5"/>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L519" s="40"/>
      <c r="AM519" s="5"/>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L520" s="40"/>
      <c r="AM520" s="5"/>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L521" s="40"/>
      <c r="AM521" s="5"/>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L522" s="40"/>
      <c r="AM522" s="5"/>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L523" s="40"/>
      <c r="AM523" s="5"/>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L524" s="40"/>
      <c r="AM524" s="5"/>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L525" s="40"/>
      <c r="AM525" s="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L526" s="40"/>
      <c r="AM526" s="5"/>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L527" s="40"/>
      <c r="AM527" s="5"/>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L528" s="40"/>
      <c r="AM528" s="5"/>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L529" s="40"/>
      <c r="AM529" s="5"/>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L530" s="40"/>
      <c r="AM530" s="5"/>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L531" s="40"/>
      <c r="AM531" s="5"/>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L532" s="40"/>
      <c r="AM532" s="5"/>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L533" s="40"/>
      <c r="AM533" s="5"/>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L534" s="40"/>
      <c r="AM534" s="5"/>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L535" s="40"/>
      <c r="AM535" s="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L536" s="40"/>
      <c r="AM536" s="5"/>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L537" s="40"/>
      <c r="AM537" s="5"/>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L538" s="40"/>
      <c r="AM538" s="5"/>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L539" s="40"/>
      <c r="AM539" s="5"/>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L540" s="40"/>
      <c r="AM540" s="5"/>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L541" s="40"/>
      <c r="AM541" s="5"/>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L542" s="40"/>
      <c r="AM542" s="5"/>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L543" s="40"/>
      <c r="AM543" s="5"/>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L544" s="40"/>
      <c r="AM544" s="5"/>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L545" s="40"/>
      <c r="AM545" s="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L546" s="40"/>
      <c r="AM546" s="5"/>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L547" s="40"/>
      <c r="AM547" s="5"/>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L548" s="40"/>
      <c r="AM548" s="5"/>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L549" s="40"/>
      <c r="AM549" s="5"/>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L550" s="40"/>
      <c r="AM550" s="5"/>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L551" s="40"/>
      <c r="AM551" s="5"/>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L552" s="40"/>
      <c r="AM552" s="5"/>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L553" s="40"/>
      <c r="AM553" s="5"/>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L554" s="40"/>
      <c r="AM554" s="5"/>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L555" s="40"/>
      <c r="AM555" s="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L556" s="40"/>
      <c r="AM556" s="5"/>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L557" s="40"/>
      <c r="AM557" s="5"/>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L558" s="40"/>
      <c r="AM558" s="5"/>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L559" s="40"/>
      <c r="AM559" s="5"/>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L560" s="40"/>
      <c r="AM560" s="5"/>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L561" s="40"/>
      <c r="AM561" s="5"/>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L562" s="40"/>
      <c r="AM562" s="5"/>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L563" s="40"/>
      <c r="AM563" s="5"/>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L564" s="40"/>
      <c r="AM564" s="5"/>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L565" s="40"/>
      <c r="AM565" s="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L566" s="40"/>
      <c r="AM566" s="5"/>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L567" s="40"/>
      <c r="AM567" s="5"/>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L568" s="40"/>
      <c r="AM568" s="5"/>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L569" s="40"/>
      <c r="AM569" s="5"/>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L570" s="40"/>
      <c r="AM570" s="5"/>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L571" s="40"/>
      <c r="AM571" s="5"/>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L572" s="40"/>
      <c r="AM572" s="5"/>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L573" s="40"/>
      <c r="AM573" s="5"/>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L574" s="40"/>
      <c r="AM574" s="5"/>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L575" s="40"/>
      <c r="AM575" s="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L576" s="40"/>
      <c r="AM576" s="5"/>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L577" s="40"/>
      <c r="AM577" s="5"/>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L578" s="40"/>
      <c r="AM578" s="5"/>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L579" s="40"/>
      <c r="AM579" s="5"/>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L580" s="40"/>
      <c r="AM580" s="5"/>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L581" s="40"/>
      <c r="AM581" s="5"/>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L582" s="40"/>
      <c r="AM582" s="5"/>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L583" s="40"/>
      <c r="AM583" s="5"/>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L584" s="40"/>
      <c r="AM584" s="5"/>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L585" s="40"/>
      <c r="AM585" s="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L586" s="40"/>
      <c r="AM586" s="5"/>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L587" s="40"/>
      <c r="AM587" s="5"/>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L588" s="40"/>
      <c r="AM588" s="5"/>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L589" s="40"/>
      <c r="AM589" s="5"/>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L590" s="40"/>
      <c r="AM590" s="5"/>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L591" s="40"/>
      <c r="AM591" s="5"/>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L592" s="40"/>
      <c r="AM592" s="5"/>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L593" s="40"/>
      <c r="AM593" s="5"/>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L594" s="40"/>
      <c r="AM594" s="5"/>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L595" s="40"/>
      <c r="AM595" s="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L596" s="40"/>
      <c r="AM596" s="5"/>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L597" s="40"/>
      <c r="AM597" s="5"/>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L598" s="40"/>
      <c r="AM598" s="5"/>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L599" s="40"/>
      <c r="AM599" s="5"/>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L600" s="40"/>
      <c r="AM600" s="5"/>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L601" s="40"/>
      <c r="AM601" s="5"/>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L602" s="40"/>
      <c r="AM602" s="5"/>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L603" s="40"/>
      <c r="AM603" s="5"/>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L604" s="40"/>
      <c r="AM604" s="5"/>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L605" s="40"/>
      <c r="AM605" s="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L606" s="40"/>
      <c r="AM606" s="5"/>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L607" s="40"/>
      <c r="AM607" s="5"/>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L608" s="40"/>
      <c r="AM608" s="5"/>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L609" s="40"/>
      <c r="AM609" s="5"/>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L610" s="40"/>
      <c r="AM610" s="5"/>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L611" s="40"/>
      <c r="AM611" s="5"/>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L612" s="40"/>
      <c r="AM612" s="5"/>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L613" s="40"/>
      <c r="AM613" s="5"/>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L614" s="40"/>
      <c r="AM614" s="5"/>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L615" s="40"/>
      <c r="AM615" s="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L616" s="40"/>
      <c r="AM616" s="5"/>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L617" s="40"/>
      <c r="AM617" s="5"/>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L618" s="40"/>
      <c r="AM618" s="5"/>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L619" s="40"/>
      <c r="AM619" s="5"/>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L620" s="40"/>
      <c r="AM620" s="5"/>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L621" s="40"/>
      <c r="AM621" s="5"/>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L622" s="40"/>
      <c r="AM622" s="5"/>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L623" s="40"/>
      <c r="AM623" s="5"/>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L624" s="40"/>
      <c r="AM624" s="5"/>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L625" s="40"/>
      <c r="AM625" s="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L626" s="40"/>
      <c r="AM626" s="5"/>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L627" s="40"/>
      <c r="AM627" s="5"/>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L628" s="40"/>
      <c r="AM628" s="5"/>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L629" s="40"/>
      <c r="AM629" s="5"/>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L630" s="40"/>
      <c r="AM630" s="5"/>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L631" s="40"/>
      <c r="AM631" s="5"/>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L632" s="40"/>
      <c r="AM632" s="5"/>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L633" s="40"/>
      <c r="AM633" s="5"/>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L634" s="40"/>
      <c r="AM634" s="5"/>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L635" s="40"/>
      <c r="AM635" s="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L636" s="40"/>
      <c r="AM636" s="5"/>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L637" s="40"/>
      <c r="AM637" s="5"/>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L638" s="40"/>
      <c r="AM638" s="5"/>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L639" s="40"/>
      <c r="AM639" s="5"/>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L640" s="40"/>
      <c r="AM640" s="5"/>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L641" s="40"/>
      <c r="AM641" s="5"/>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L642" s="40"/>
      <c r="AM642" s="5"/>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L643" s="40"/>
      <c r="AM643" s="5"/>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L644" s="40"/>
      <c r="AM644" s="5"/>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L645" s="40"/>
      <c r="AM645" s="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L646" s="40"/>
      <c r="AM646" s="5"/>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L647" s="40"/>
      <c r="AM647" s="5"/>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L648" s="40"/>
      <c r="AM648" s="5"/>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L649" s="40"/>
      <c r="AM649" s="5"/>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L650" s="40"/>
      <c r="AM650" s="5"/>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L651" s="40"/>
      <c r="AM651" s="5"/>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L652" s="40"/>
      <c r="AM652" s="5"/>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L653" s="40"/>
      <c r="AM653" s="5"/>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L654" s="40"/>
      <c r="AM654" s="5"/>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L655" s="40"/>
      <c r="AM655" s="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L656" s="40"/>
      <c r="AM656" s="5"/>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L657" s="40"/>
      <c r="AM657" s="5"/>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L658" s="40"/>
      <c r="AM658" s="5"/>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L659" s="40"/>
      <c r="AM659" s="5"/>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L660" s="40"/>
      <c r="AM660" s="5"/>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L661" s="40"/>
      <c r="AM661" s="5"/>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L662" s="40"/>
      <c r="AM662" s="5"/>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L663" s="40"/>
      <c r="AM663" s="5"/>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L664" s="40"/>
      <c r="AM664" s="5"/>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L665" s="40"/>
      <c r="AM665" s="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L666" s="40"/>
      <c r="AM666" s="5"/>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L667" s="40"/>
      <c r="AM667" s="5"/>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L668" s="40"/>
      <c r="AM668" s="5"/>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L669" s="40"/>
      <c r="AM669" s="5"/>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L670" s="40"/>
      <c r="AM670" s="5"/>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L671" s="40"/>
      <c r="AM671" s="5"/>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L672" s="40"/>
      <c r="AM672" s="5"/>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L673" s="40"/>
      <c r="AM673" s="5"/>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L674" s="40"/>
      <c r="AM674" s="5"/>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L675" s="40"/>
      <c r="AM675" s="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L676" s="40"/>
      <c r="AM676" s="5"/>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L677" s="40"/>
      <c r="AM677" s="5"/>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L678" s="40"/>
      <c r="AM678" s="5"/>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L679" s="40"/>
      <c r="AM679" s="5"/>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L680" s="40"/>
      <c r="AM680" s="5"/>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L681" s="40"/>
      <c r="AM681" s="5"/>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L682" s="40"/>
      <c r="AM682" s="5"/>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L683" s="40"/>
      <c r="AM683" s="5"/>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L684" s="40"/>
      <c r="AM684" s="5"/>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L685" s="40"/>
      <c r="AM685" s="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L686" s="40"/>
      <c r="AM686" s="5"/>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L687" s="40"/>
      <c r="AM687" s="5"/>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L688" s="40"/>
      <c r="AM688" s="5"/>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L689" s="40"/>
      <c r="AM689" s="5"/>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L690" s="40"/>
      <c r="AM690" s="5"/>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L691" s="40"/>
      <c r="AM691" s="5"/>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L692" s="40"/>
      <c r="AM692" s="5"/>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L693" s="40"/>
      <c r="AM693" s="5"/>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L694" s="40"/>
      <c r="AM694" s="5"/>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L695" s="40"/>
      <c r="AM695" s="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L696" s="40"/>
      <c r="AM696" s="5"/>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L697" s="40"/>
      <c r="AM697" s="5"/>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L698" s="40"/>
      <c r="AM698" s="5"/>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L699" s="40"/>
      <c r="AM699" s="5"/>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L700" s="40"/>
      <c r="AM700" s="5"/>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L701" s="40"/>
      <c r="AM701" s="5"/>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L702" s="40"/>
      <c r="AM702" s="5"/>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L703" s="40"/>
      <c r="AM703" s="5"/>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L704" s="40"/>
      <c r="AM704" s="5"/>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L705" s="40"/>
      <c r="AM705" s="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L706" s="40"/>
      <c r="AM706" s="5"/>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L707" s="40"/>
      <c r="AM707" s="5"/>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L708" s="40"/>
      <c r="AM708" s="5"/>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L709" s="40"/>
      <c r="AM709" s="5"/>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L710" s="40"/>
      <c r="AM710" s="5"/>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L711" s="40"/>
      <c r="AM711" s="5"/>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L712" s="40"/>
      <c r="AM712" s="5"/>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L713" s="40"/>
      <c r="AM713" s="5"/>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L714" s="40"/>
      <c r="AM714" s="5"/>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L715" s="40"/>
      <c r="AM715" s="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L716" s="40"/>
      <c r="AM716" s="5"/>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L717" s="40"/>
      <c r="AM717" s="5"/>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L718" s="40"/>
      <c r="AM718" s="5"/>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L719" s="40"/>
      <c r="AM719" s="5"/>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L720" s="40"/>
      <c r="AM720" s="5"/>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L721" s="40"/>
      <c r="AM721" s="5"/>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L722" s="40"/>
      <c r="AM722" s="5"/>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L723" s="40"/>
      <c r="AM723" s="5"/>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L724" s="40"/>
      <c r="AM724" s="5"/>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L725" s="40"/>
      <c r="AM725" s="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L726" s="40"/>
      <c r="AM726" s="5"/>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L727" s="40"/>
      <c r="AM727" s="5"/>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L728" s="40"/>
      <c r="AM728" s="5"/>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L729" s="40"/>
      <c r="AM729" s="5"/>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L730" s="40"/>
      <c r="AM730" s="5"/>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L731" s="40"/>
      <c r="AM731" s="5"/>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L732" s="40"/>
      <c r="AM732" s="5"/>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L733" s="40"/>
      <c r="AM733" s="5"/>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L734" s="40"/>
      <c r="AM734" s="5"/>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L735" s="40"/>
      <c r="AM735" s="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L736" s="40"/>
      <c r="AM736" s="5"/>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L737" s="40"/>
      <c r="AM737" s="5"/>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L738" s="40"/>
      <c r="AM738" s="5"/>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L739" s="40"/>
      <c r="AM739" s="5"/>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L740" s="40"/>
      <c r="AM740" s="5"/>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L741" s="40"/>
      <c r="AM741" s="5"/>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L742" s="40"/>
      <c r="AM742" s="5"/>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L743" s="40"/>
      <c r="AM743" s="5"/>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L744" s="40"/>
      <c r="AM744" s="5"/>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L745" s="40"/>
      <c r="AM745" s="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L746" s="40"/>
      <c r="AM746" s="5"/>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L747" s="40"/>
      <c r="AM747" s="5"/>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L748" s="40"/>
      <c r="AM748" s="5"/>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L749" s="40"/>
      <c r="AM749" s="5"/>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L750" s="40"/>
      <c r="AM750" s="5"/>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L751" s="40"/>
      <c r="AM751" s="5"/>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L752" s="40"/>
      <c r="AM752" s="5"/>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L753" s="40"/>
      <c r="AM753" s="5"/>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L754" s="40"/>
      <c r="AM754" s="5"/>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L755" s="40"/>
      <c r="AM755" s="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L756" s="40"/>
      <c r="AM756" s="5"/>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L757" s="40"/>
      <c r="AM757" s="5"/>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L758" s="40"/>
      <c r="AM758" s="5"/>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L759" s="40"/>
      <c r="AM759" s="5"/>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L760" s="40"/>
      <c r="AM760" s="5"/>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L761" s="40"/>
      <c r="AM761" s="5"/>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L762" s="40"/>
      <c r="AM762" s="5"/>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L763" s="40"/>
      <c r="AM763" s="5"/>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L764" s="40"/>
      <c r="AM764" s="5"/>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L765" s="40"/>
      <c r="AM765" s="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L766" s="40"/>
      <c r="AM766" s="5"/>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L767" s="40"/>
      <c r="AM767" s="5"/>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L768" s="40"/>
      <c r="AM768" s="5"/>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L769" s="40"/>
      <c r="AM769" s="5"/>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L770" s="40"/>
      <c r="AM770" s="5"/>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L771" s="40"/>
      <c r="AM771" s="5"/>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L772" s="40"/>
      <c r="AM772" s="5"/>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L773" s="40"/>
      <c r="AM773" s="5"/>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L774" s="40"/>
      <c r="AM774" s="5"/>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L775" s="40"/>
      <c r="AM775" s="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L776" s="40"/>
      <c r="AM776" s="5"/>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L777" s="40"/>
      <c r="AM777" s="5"/>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L778" s="40"/>
      <c r="AM778" s="5"/>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L779" s="40"/>
      <c r="AM779" s="5"/>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L780" s="40"/>
      <c r="AM780" s="5"/>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L781" s="40"/>
      <c r="AM781" s="5"/>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L782" s="40"/>
      <c r="AM782" s="5"/>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L783" s="40"/>
      <c r="AM783" s="5"/>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L784" s="40"/>
      <c r="AM784" s="5"/>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L785" s="40"/>
      <c r="AM785" s="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L786" s="40"/>
      <c r="AM786" s="5"/>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L787" s="40"/>
      <c r="AM787" s="5"/>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L788" s="40"/>
      <c r="AM788" s="5"/>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L789" s="40"/>
      <c r="AM789" s="5"/>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L790" s="40"/>
      <c r="AM790" s="5"/>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L791" s="40"/>
      <c r="AM791" s="5"/>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L792" s="40"/>
      <c r="AM792" s="5"/>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L793" s="40"/>
      <c r="AM793" s="5"/>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L794" s="40"/>
      <c r="AM794" s="5"/>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L795" s="40"/>
      <c r="AM795" s="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L796" s="40"/>
      <c r="AM796" s="5"/>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L797" s="40"/>
      <c r="AM797" s="5"/>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L798" s="40"/>
      <c r="AM798" s="5"/>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L799" s="40"/>
      <c r="AM799" s="5"/>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L800" s="40"/>
      <c r="AM800" s="5"/>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L801" s="40"/>
      <c r="AM801" s="5"/>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L802" s="40"/>
      <c r="AM802" s="5"/>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L803" s="40"/>
      <c r="AM803" s="5"/>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L804" s="40"/>
      <c r="AM804" s="5"/>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L805" s="40"/>
      <c r="AM805" s="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L806" s="40"/>
      <c r="AM806" s="5"/>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L807" s="40"/>
      <c r="AM807" s="5"/>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L808" s="40"/>
      <c r="AM808" s="5"/>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L809" s="40"/>
      <c r="AM809" s="5"/>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L810" s="40"/>
      <c r="AM810" s="5"/>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L811" s="40"/>
      <c r="AM811" s="5"/>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L812" s="40"/>
      <c r="AM812" s="5"/>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L813" s="40"/>
      <c r="AM813" s="5"/>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L814" s="40"/>
      <c r="AM814" s="5"/>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L815" s="40"/>
      <c r="AM815" s="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L816" s="40"/>
      <c r="AM816" s="5"/>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L817" s="40"/>
      <c r="AM817" s="5"/>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L818" s="40"/>
      <c r="AM818" s="5"/>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L819" s="40"/>
      <c r="AM819" s="5"/>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L820" s="40"/>
      <c r="AM820" s="5"/>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L821" s="40"/>
      <c r="AM821" s="5"/>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L822" s="40"/>
      <c r="AM822" s="5"/>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L823" s="40"/>
      <c r="AM823" s="5"/>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L824" s="40"/>
      <c r="AM824" s="5"/>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L825" s="40"/>
      <c r="AM825" s="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L826" s="40"/>
      <c r="AM826" s="5"/>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L827" s="40"/>
      <c r="AM827" s="5"/>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L828" s="40"/>
      <c r="AM828" s="5"/>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L829" s="40"/>
      <c r="AM829" s="5"/>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L830" s="40"/>
      <c r="AM830" s="5"/>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L831" s="40"/>
      <c r="AM831" s="5"/>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L832" s="40"/>
      <c r="AM832" s="5"/>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L833" s="40"/>
      <c r="AM833" s="5"/>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L834" s="40"/>
      <c r="AM834" s="5"/>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L835" s="40"/>
      <c r="AM835" s="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L836" s="40"/>
      <c r="AM836" s="5"/>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L837" s="40"/>
      <c r="AM837" s="5"/>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L838" s="40"/>
      <c r="AM838" s="5"/>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L839" s="40"/>
      <c r="AM839" s="5"/>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L840" s="40"/>
      <c r="AM840" s="5"/>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L841" s="40"/>
      <c r="AM841" s="5"/>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L842" s="40"/>
      <c r="AM842" s="5"/>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L843" s="40"/>
      <c r="AM843" s="5"/>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L844" s="40"/>
      <c r="AM844" s="5"/>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L845" s="40"/>
      <c r="AM845" s="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L846" s="40"/>
      <c r="AM846" s="5"/>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L847" s="40"/>
      <c r="AM847" s="5"/>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L848" s="40"/>
      <c r="AM848" s="5"/>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L849" s="40"/>
      <c r="AM849" s="5"/>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L850" s="40"/>
      <c r="AM850" s="5"/>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L851" s="40"/>
      <c r="AM851" s="5"/>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L852" s="40"/>
      <c r="AM852" s="5"/>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L853" s="40"/>
      <c r="AM853" s="5"/>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L854" s="40"/>
      <c r="AM854" s="5"/>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L855" s="40"/>
      <c r="AM855" s="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L856" s="40"/>
      <c r="AM856" s="5"/>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L857" s="40"/>
      <c r="AM857" s="5"/>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L858" s="40"/>
      <c r="AM858" s="5"/>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L859" s="40"/>
      <c r="AM859" s="5"/>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L860" s="40"/>
      <c r="AM860" s="5"/>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L861" s="40"/>
      <c r="AM861" s="5"/>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L862" s="40"/>
      <c r="AM862" s="5"/>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L863" s="40"/>
      <c r="AM863" s="5"/>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L864" s="40"/>
      <c r="AM864" s="5"/>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L865" s="40"/>
      <c r="AM865" s="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L866" s="40"/>
      <c r="AM866" s="5"/>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L867" s="40"/>
      <c r="AM867" s="5"/>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L868" s="40"/>
      <c r="AM868" s="5"/>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L869" s="40"/>
      <c r="AM869" s="5"/>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L870" s="40"/>
      <c r="AM870" s="5"/>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L871" s="40"/>
      <c r="AM871" s="5"/>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L872" s="40"/>
      <c r="AM872" s="5"/>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L873" s="40"/>
      <c r="AM873" s="5"/>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L874" s="40"/>
      <c r="AM874" s="5"/>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L875" s="40"/>
      <c r="AM875" s="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L876" s="40"/>
      <c r="AM876" s="5"/>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L877" s="40"/>
      <c r="AM877" s="5"/>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L878" s="40"/>
      <c r="AM878" s="5"/>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L879" s="40"/>
      <c r="AM879" s="5"/>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L880" s="40"/>
      <c r="AM880" s="5"/>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row r="881">
      <c r="AL881" s="40"/>
      <c r="AM881" s="5"/>
      <c r="AO881" s="40"/>
      <c r="AP881" s="5"/>
      <c r="AR881" s="40"/>
      <c r="AS881" s="5"/>
      <c r="AU881" s="40"/>
      <c r="AV881" s="5"/>
      <c r="AX881" s="40"/>
      <c r="AY881" s="5"/>
      <c r="BA881" s="40"/>
      <c r="BB881" s="5"/>
      <c r="BD881" s="40"/>
      <c r="BE881" s="5"/>
      <c r="BG881" s="40"/>
      <c r="BH881" s="5"/>
      <c r="BJ881" s="40"/>
      <c r="BK881" s="5"/>
      <c r="BM881" s="40"/>
      <c r="BN881" s="5"/>
      <c r="BP881" s="40"/>
      <c r="BQ881" s="5"/>
      <c r="BS881" s="40"/>
      <c r="BT881" s="5"/>
      <c r="BV881" s="40"/>
      <c r="BW881" s="5"/>
      <c r="BY881" s="40"/>
      <c r="BZ881" s="5"/>
      <c r="CB881" s="40"/>
      <c r="CC881" s="5"/>
      <c r="CE881" s="40"/>
      <c r="CF881" s="5"/>
      <c r="CH881" s="40"/>
      <c r="CI881" s="5"/>
      <c r="CK881" s="40"/>
      <c r="CL881" s="5"/>
      <c r="CN881" s="40"/>
      <c r="CO881" s="5"/>
      <c r="CQ881" s="40"/>
      <c r="CR881" s="5"/>
    </row>
    <row r="882">
      <c r="AL882" s="40"/>
      <c r="AM882" s="5"/>
      <c r="AO882" s="40"/>
      <c r="AP882" s="5"/>
      <c r="AR882" s="40"/>
      <c r="AS882" s="5"/>
      <c r="AU882" s="40"/>
      <c r="AV882" s="5"/>
      <c r="AX882" s="40"/>
      <c r="AY882" s="5"/>
      <c r="BA882" s="40"/>
      <c r="BB882" s="5"/>
      <c r="BD882" s="40"/>
      <c r="BE882" s="5"/>
      <c r="BG882" s="40"/>
      <c r="BH882" s="5"/>
      <c r="BJ882" s="40"/>
      <c r="BK882" s="5"/>
      <c r="BM882" s="40"/>
      <c r="BN882" s="5"/>
      <c r="BP882" s="40"/>
      <c r="BQ882" s="5"/>
      <c r="BS882" s="40"/>
      <c r="BT882" s="5"/>
      <c r="BV882" s="40"/>
      <c r="BW882" s="5"/>
      <c r="BY882" s="40"/>
      <c r="BZ882" s="5"/>
      <c r="CB882" s="40"/>
      <c r="CC882" s="5"/>
      <c r="CE882" s="40"/>
      <c r="CF882" s="5"/>
      <c r="CH882" s="40"/>
      <c r="CI882" s="5"/>
      <c r="CK882" s="40"/>
      <c r="CL882" s="5"/>
      <c r="CN882" s="40"/>
      <c r="CO882" s="5"/>
      <c r="CQ882" s="40"/>
      <c r="CR882" s="5"/>
    </row>
    <row r="883">
      <c r="AL883" s="40"/>
      <c r="AM883" s="5"/>
      <c r="AO883" s="40"/>
      <c r="AP883" s="5"/>
      <c r="AR883" s="40"/>
      <c r="AS883" s="5"/>
      <c r="AU883" s="40"/>
      <c r="AV883" s="5"/>
      <c r="AX883" s="40"/>
      <c r="AY883" s="5"/>
      <c r="BA883" s="40"/>
      <c r="BB883" s="5"/>
      <c r="BD883" s="40"/>
      <c r="BE883" s="5"/>
      <c r="BG883" s="40"/>
      <c r="BH883" s="5"/>
      <c r="BJ883" s="40"/>
      <c r="BK883" s="5"/>
      <c r="BM883" s="40"/>
      <c r="BN883" s="5"/>
      <c r="BP883" s="40"/>
      <c r="BQ883" s="5"/>
      <c r="BS883" s="40"/>
      <c r="BT883" s="5"/>
      <c r="BV883" s="40"/>
      <c r="BW883" s="5"/>
      <c r="BY883" s="40"/>
      <c r="BZ883" s="5"/>
      <c r="CB883" s="40"/>
      <c r="CC883" s="5"/>
      <c r="CE883" s="40"/>
      <c r="CF883" s="5"/>
      <c r="CH883" s="40"/>
      <c r="CI883" s="5"/>
      <c r="CK883" s="40"/>
      <c r="CL883" s="5"/>
      <c r="CN883" s="40"/>
      <c r="CO883" s="5"/>
      <c r="CQ883" s="40"/>
      <c r="CR883" s="5"/>
    </row>
    <row r="884">
      <c r="AL884" s="40"/>
      <c r="AM884" s="5"/>
      <c r="AO884" s="40"/>
      <c r="AP884" s="5"/>
      <c r="AR884" s="40"/>
      <c r="AS884" s="5"/>
      <c r="AU884" s="40"/>
      <c r="AV884" s="5"/>
      <c r="AX884" s="40"/>
      <c r="AY884" s="5"/>
      <c r="BA884" s="40"/>
      <c r="BB884" s="5"/>
      <c r="BD884" s="40"/>
      <c r="BE884" s="5"/>
      <c r="BG884" s="40"/>
      <c r="BH884" s="5"/>
      <c r="BJ884" s="40"/>
      <c r="BK884" s="5"/>
      <c r="BM884" s="40"/>
      <c r="BN884" s="5"/>
      <c r="BP884" s="40"/>
      <c r="BQ884" s="5"/>
      <c r="BS884" s="40"/>
      <c r="BT884" s="5"/>
      <c r="BV884" s="40"/>
      <c r="BW884" s="5"/>
      <c r="BY884" s="40"/>
      <c r="BZ884" s="5"/>
      <c r="CB884" s="40"/>
      <c r="CC884" s="5"/>
      <c r="CE884" s="40"/>
      <c r="CF884" s="5"/>
      <c r="CH884" s="40"/>
      <c r="CI884" s="5"/>
      <c r="CK884" s="40"/>
      <c r="CL884" s="5"/>
      <c r="CN884" s="40"/>
      <c r="CO884" s="5"/>
      <c r="CQ884" s="40"/>
      <c r="CR884" s="5"/>
    </row>
    <row r="885">
      <c r="AL885" s="40"/>
      <c r="AM885" s="5"/>
      <c r="AO885" s="40"/>
      <c r="AP885" s="5"/>
      <c r="AR885" s="40"/>
      <c r="AS885" s="5"/>
      <c r="AU885" s="40"/>
      <c r="AV885" s="5"/>
      <c r="AX885" s="40"/>
      <c r="AY885" s="5"/>
      <c r="BA885" s="40"/>
      <c r="BB885" s="5"/>
      <c r="BD885" s="40"/>
      <c r="BE885" s="5"/>
      <c r="BG885" s="40"/>
      <c r="BH885" s="5"/>
      <c r="BJ885" s="40"/>
      <c r="BK885" s="5"/>
      <c r="BM885" s="40"/>
      <c r="BN885" s="5"/>
      <c r="BP885" s="40"/>
      <c r="BQ885" s="5"/>
      <c r="BS885" s="40"/>
      <c r="BT885" s="5"/>
      <c r="BV885" s="40"/>
      <c r="BW885" s="5"/>
      <c r="BY885" s="40"/>
      <c r="BZ885" s="5"/>
      <c r="CB885" s="40"/>
      <c r="CC885" s="5"/>
      <c r="CE885" s="40"/>
      <c r="CF885" s="5"/>
      <c r="CH885" s="40"/>
      <c r="CI885" s="5"/>
      <c r="CK885" s="40"/>
      <c r="CL885" s="5"/>
      <c r="CN885" s="40"/>
      <c r="CO885" s="5"/>
      <c r="CQ885" s="40"/>
      <c r="CR885" s="5"/>
    </row>
    <row r="886">
      <c r="AL886" s="40"/>
      <c r="AM886" s="5"/>
      <c r="AO886" s="40"/>
      <c r="AP886" s="5"/>
      <c r="AR886" s="40"/>
      <c r="AS886" s="5"/>
      <c r="AU886" s="40"/>
      <c r="AV886" s="5"/>
      <c r="AX886" s="40"/>
      <c r="AY886" s="5"/>
      <c r="BA886" s="40"/>
      <c r="BB886" s="5"/>
      <c r="BD886" s="40"/>
      <c r="BE886" s="5"/>
      <c r="BG886" s="40"/>
      <c r="BH886" s="5"/>
      <c r="BJ886" s="40"/>
      <c r="BK886" s="5"/>
      <c r="BM886" s="40"/>
      <c r="BN886" s="5"/>
      <c r="BP886" s="40"/>
      <c r="BQ886" s="5"/>
      <c r="BS886" s="40"/>
      <c r="BT886" s="5"/>
      <c r="BV886" s="40"/>
      <c r="BW886" s="5"/>
      <c r="BY886" s="40"/>
      <c r="BZ886" s="5"/>
      <c r="CB886" s="40"/>
      <c r="CC886" s="5"/>
      <c r="CE886" s="40"/>
      <c r="CF886" s="5"/>
      <c r="CH886" s="40"/>
      <c r="CI886" s="5"/>
      <c r="CK886" s="40"/>
      <c r="CL886" s="5"/>
      <c r="CN886" s="40"/>
      <c r="CO886" s="5"/>
      <c r="CQ886" s="40"/>
      <c r="CR886" s="5"/>
    </row>
    <row r="887">
      <c r="AL887" s="40"/>
      <c r="AM887" s="5"/>
      <c r="AO887" s="40"/>
      <c r="AP887" s="5"/>
      <c r="AR887" s="40"/>
      <c r="AS887" s="5"/>
      <c r="AU887" s="40"/>
      <c r="AV887" s="5"/>
      <c r="AX887" s="40"/>
      <c r="AY887" s="5"/>
      <c r="BA887" s="40"/>
      <c r="BB887" s="5"/>
      <c r="BD887" s="40"/>
      <c r="BE887" s="5"/>
      <c r="BG887" s="40"/>
      <c r="BH887" s="5"/>
      <c r="BJ887" s="40"/>
      <c r="BK887" s="5"/>
      <c r="BM887" s="40"/>
      <c r="BN887" s="5"/>
      <c r="BP887" s="40"/>
      <c r="BQ887" s="5"/>
      <c r="BS887" s="40"/>
      <c r="BT887" s="5"/>
      <c r="BV887" s="40"/>
      <c r="BW887" s="5"/>
      <c r="BY887" s="40"/>
      <c r="BZ887" s="5"/>
      <c r="CB887" s="40"/>
      <c r="CC887" s="5"/>
      <c r="CE887" s="40"/>
      <c r="CF887" s="5"/>
      <c r="CH887" s="40"/>
      <c r="CI887" s="5"/>
      <c r="CK887" s="40"/>
      <c r="CL887" s="5"/>
      <c r="CN887" s="40"/>
      <c r="CO887" s="5"/>
      <c r="CQ887" s="40"/>
      <c r="CR887" s="5"/>
    </row>
    <row r="888">
      <c r="AL888" s="40"/>
      <c r="AM888" s="5"/>
      <c r="AO888" s="40"/>
      <c r="AP888" s="5"/>
      <c r="AR888" s="40"/>
      <c r="AS888" s="5"/>
      <c r="AU888" s="40"/>
      <c r="AV888" s="5"/>
      <c r="AX888" s="40"/>
      <c r="AY888" s="5"/>
      <c r="BA888" s="40"/>
      <c r="BB888" s="5"/>
      <c r="BD888" s="40"/>
      <c r="BE888" s="5"/>
      <c r="BG888" s="40"/>
      <c r="BH888" s="5"/>
      <c r="BJ888" s="40"/>
      <c r="BK888" s="5"/>
      <c r="BM888" s="40"/>
      <c r="BN888" s="5"/>
      <c r="BP888" s="40"/>
      <c r="BQ888" s="5"/>
      <c r="BS888" s="40"/>
      <c r="BT888" s="5"/>
      <c r="BV888" s="40"/>
      <c r="BW888" s="5"/>
      <c r="BY888" s="40"/>
      <c r="BZ888" s="5"/>
      <c r="CB888" s="40"/>
      <c r="CC888" s="5"/>
      <c r="CE888" s="40"/>
      <c r="CF888" s="5"/>
      <c r="CH888" s="40"/>
      <c r="CI888" s="5"/>
      <c r="CK888" s="40"/>
      <c r="CL888" s="5"/>
      <c r="CN888" s="40"/>
      <c r="CO888" s="5"/>
      <c r="CQ888" s="40"/>
      <c r="CR888" s="5"/>
    </row>
    <row r="889">
      <c r="AL889" s="40"/>
      <c r="AM889" s="5"/>
      <c r="AO889" s="40"/>
      <c r="AP889" s="5"/>
      <c r="AR889" s="40"/>
      <c r="AS889" s="5"/>
      <c r="AU889" s="40"/>
      <c r="AV889" s="5"/>
      <c r="AX889" s="40"/>
      <c r="AY889" s="5"/>
      <c r="BA889" s="40"/>
      <c r="BB889" s="5"/>
      <c r="BD889" s="40"/>
      <c r="BE889" s="5"/>
      <c r="BG889" s="40"/>
      <c r="BH889" s="5"/>
      <c r="BJ889" s="40"/>
      <c r="BK889" s="5"/>
      <c r="BM889" s="40"/>
      <c r="BN889" s="5"/>
      <c r="BP889" s="40"/>
      <c r="BQ889" s="5"/>
      <c r="BS889" s="40"/>
      <c r="BT889" s="5"/>
      <c r="BV889" s="40"/>
      <c r="BW889" s="5"/>
      <c r="BY889" s="40"/>
      <c r="BZ889" s="5"/>
      <c r="CB889" s="40"/>
      <c r="CC889" s="5"/>
      <c r="CE889" s="40"/>
      <c r="CF889" s="5"/>
      <c r="CH889" s="40"/>
      <c r="CI889" s="5"/>
      <c r="CK889" s="40"/>
      <c r="CL889" s="5"/>
      <c r="CN889" s="40"/>
      <c r="CO889" s="5"/>
      <c r="CQ889" s="40"/>
      <c r="CR889" s="5"/>
    </row>
    <row r="890">
      <c r="AL890" s="40"/>
      <c r="AM890" s="5"/>
      <c r="AO890" s="40"/>
      <c r="AP890" s="5"/>
      <c r="AR890" s="40"/>
      <c r="AS890" s="5"/>
      <c r="AU890" s="40"/>
      <c r="AV890" s="5"/>
      <c r="AX890" s="40"/>
      <c r="AY890" s="5"/>
      <c r="BA890" s="40"/>
      <c r="BB890" s="5"/>
      <c r="BD890" s="40"/>
      <c r="BE890" s="5"/>
      <c r="BG890" s="40"/>
      <c r="BH890" s="5"/>
      <c r="BJ890" s="40"/>
      <c r="BK890" s="5"/>
      <c r="BM890" s="40"/>
      <c r="BN890" s="5"/>
      <c r="BP890" s="40"/>
      <c r="BQ890" s="5"/>
      <c r="BS890" s="40"/>
      <c r="BT890" s="5"/>
      <c r="BV890" s="40"/>
      <c r="BW890" s="5"/>
      <c r="BY890" s="40"/>
      <c r="BZ890" s="5"/>
      <c r="CB890" s="40"/>
      <c r="CC890" s="5"/>
      <c r="CE890" s="40"/>
      <c r="CF890" s="5"/>
      <c r="CH890" s="40"/>
      <c r="CI890" s="5"/>
      <c r="CK890" s="40"/>
      <c r="CL890" s="5"/>
      <c r="CN890" s="40"/>
      <c r="CO890" s="5"/>
      <c r="CQ890" s="40"/>
      <c r="CR890" s="5"/>
    </row>
    <row r="891">
      <c r="AL891" s="40"/>
      <c r="AM891" s="5"/>
      <c r="AO891" s="40"/>
      <c r="AP891" s="5"/>
      <c r="AR891" s="40"/>
      <c r="AS891" s="5"/>
      <c r="AU891" s="40"/>
      <c r="AV891" s="5"/>
      <c r="AX891" s="40"/>
      <c r="AY891" s="5"/>
      <c r="BA891" s="40"/>
      <c r="BB891" s="5"/>
      <c r="BD891" s="40"/>
      <c r="BE891" s="5"/>
      <c r="BG891" s="40"/>
      <c r="BH891" s="5"/>
      <c r="BJ891" s="40"/>
      <c r="BK891" s="5"/>
      <c r="BM891" s="40"/>
      <c r="BN891" s="5"/>
      <c r="BP891" s="40"/>
      <c r="BQ891" s="5"/>
      <c r="BS891" s="40"/>
      <c r="BT891" s="5"/>
      <c r="BV891" s="40"/>
      <c r="BW891" s="5"/>
      <c r="BY891" s="40"/>
      <c r="BZ891" s="5"/>
      <c r="CB891" s="40"/>
      <c r="CC891" s="5"/>
      <c r="CE891" s="40"/>
      <c r="CF891" s="5"/>
      <c r="CH891" s="40"/>
      <c r="CI891" s="5"/>
      <c r="CK891" s="40"/>
      <c r="CL891" s="5"/>
      <c r="CN891" s="40"/>
      <c r="CO891" s="5"/>
      <c r="CQ891" s="40"/>
      <c r="CR891" s="5"/>
    </row>
    <row r="892">
      <c r="AL892" s="40"/>
      <c r="AM892" s="5"/>
      <c r="AO892" s="40"/>
      <c r="AP892" s="5"/>
      <c r="AR892" s="40"/>
      <c r="AS892" s="5"/>
      <c r="AU892" s="40"/>
      <c r="AV892" s="5"/>
      <c r="AX892" s="40"/>
      <c r="AY892" s="5"/>
      <c r="BA892" s="40"/>
      <c r="BB892" s="5"/>
      <c r="BD892" s="40"/>
      <c r="BE892" s="5"/>
      <c r="BG892" s="40"/>
      <c r="BH892" s="5"/>
      <c r="BJ892" s="40"/>
      <c r="BK892" s="5"/>
      <c r="BM892" s="40"/>
      <c r="BN892" s="5"/>
      <c r="BP892" s="40"/>
      <c r="BQ892" s="5"/>
      <c r="BS892" s="40"/>
      <c r="BT892" s="5"/>
      <c r="BV892" s="40"/>
      <c r="BW892" s="5"/>
      <c r="BY892" s="40"/>
      <c r="BZ892" s="5"/>
      <c r="CB892" s="40"/>
      <c r="CC892" s="5"/>
      <c r="CE892" s="40"/>
      <c r="CF892" s="5"/>
      <c r="CH892" s="40"/>
      <c r="CI892" s="5"/>
      <c r="CK892" s="40"/>
      <c r="CL892" s="5"/>
      <c r="CN892" s="40"/>
      <c r="CO892" s="5"/>
      <c r="CQ892" s="40"/>
      <c r="CR892" s="5"/>
    </row>
    <row r="893">
      <c r="AL893" s="40"/>
      <c r="AM893" s="5"/>
      <c r="AO893" s="40"/>
      <c r="AP893" s="5"/>
      <c r="AR893" s="40"/>
      <c r="AS893" s="5"/>
      <c r="AU893" s="40"/>
      <c r="AV893" s="5"/>
      <c r="AX893" s="40"/>
      <c r="AY893" s="5"/>
      <c r="BA893" s="40"/>
      <c r="BB893" s="5"/>
      <c r="BD893" s="40"/>
      <c r="BE893" s="5"/>
      <c r="BG893" s="40"/>
      <c r="BH893" s="5"/>
      <c r="BJ893" s="40"/>
      <c r="BK893" s="5"/>
      <c r="BM893" s="40"/>
      <c r="BN893" s="5"/>
      <c r="BP893" s="40"/>
      <c r="BQ893" s="5"/>
      <c r="BS893" s="40"/>
      <c r="BT893" s="5"/>
      <c r="BV893" s="40"/>
      <c r="BW893" s="5"/>
      <c r="BY893" s="40"/>
      <c r="BZ893" s="5"/>
      <c r="CB893" s="40"/>
      <c r="CC893" s="5"/>
      <c r="CE893" s="40"/>
      <c r="CF893" s="5"/>
      <c r="CH893" s="40"/>
      <c r="CI893" s="5"/>
      <c r="CK893" s="40"/>
      <c r="CL893" s="5"/>
      <c r="CN893" s="40"/>
      <c r="CO893" s="5"/>
      <c r="CQ893" s="40"/>
      <c r="CR893" s="5"/>
    </row>
    <row r="894">
      <c r="AL894" s="40"/>
      <c r="AM894" s="5"/>
      <c r="AO894" s="40"/>
      <c r="AP894" s="5"/>
      <c r="AR894" s="40"/>
      <c r="AS894" s="5"/>
      <c r="AU894" s="40"/>
      <c r="AV894" s="5"/>
      <c r="AX894" s="40"/>
      <c r="AY894" s="5"/>
      <c r="BA894" s="40"/>
      <c r="BB894" s="5"/>
      <c r="BD894" s="40"/>
      <c r="BE894" s="5"/>
      <c r="BG894" s="40"/>
      <c r="BH894" s="5"/>
      <c r="BJ894" s="40"/>
      <c r="BK894" s="5"/>
      <c r="BM894" s="40"/>
      <c r="BN894" s="5"/>
      <c r="BP894" s="40"/>
      <c r="BQ894" s="5"/>
      <c r="BS894" s="40"/>
      <c r="BT894" s="5"/>
      <c r="BV894" s="40"/>
      <c r="BW894" s="5"/>
      <c r="BY894" s="40"/>
      <c r="BZ894" s="5"/>
      <c r="CB894" s="40"/>
      <c r="CC894" s="5"/>
      <c r="CE894" s="40"/>
      <c r="CF894" s="5"/>
      <c r="CH894" s="40"/>
      <c r="CI894" s="5"/>
      <c r="CK894" s="40"/>
      <c r="CL894" s="5"/>
      <c r="CN894" s="40"/>
      <c r="CO894" s="5"/>
      <c r="CQ894" s="40"/>
      <c r="CR894" s="5"/>
    </row>
    <row r="895">
      <c r="AL895" s="40"/>
      <c r="AM895" s="5"/>
      <c r="AO895" s="40"/>
      <c r="AP895" s="5"/>
      <c r="AR895" s="40"/>
      <c r="AS895" s="5"/>
      <c r="AU895" s="40"/>
      <c r="AV895" s="5"/>
      <c r="AX895" s="40"/>
      <c r="AY895" s="5"/>
      <c r="BA895" s="40"/>
      <c r="BB895" s="5"/>
      <c r="BD895" s="40"/>
      <c r="BE895" s="5"/>
      <c r="BG895" s="40"/>
      <c r="BH895" s="5"/>
      <c r="BJ895" s="40"/>
      <c r="BK895" s="5"/>
      <c r="BM895" s="40"/>
      <c r="BN895" s="5"/>
      <c r="BP895" s="40"/>
      <c r="BQ895" s="5"/>
      <c r="BS895" s="40"/>
      <c r="BT895" s="5"/>
      <c r="BV895" s="40"/>
      <c r="BW895" s="5"/>
      <c r="BY895" s="40"/>
      <c r="BZ895" s="5"/>
      <c r="CB895" s="40"/>
      <c r="CC895" s="5"/>
      <c r="CE895" s="40"/>
      <c r="CF895" s="5"/>
      <c r="CH895" s="40"/>
      <c r="CI895" s="5"/>
      <c r="CK895" s="40"/>
      <c r="CL895" s="5"/>
      <c r="CN895" s="40"/>
      <c r="CO895" s="5"/>
      <c r="CQ895" s="40"/>
      <c r="CR895" s="5"/>
    </row>
    <row r="896">
      <c r="AL896" s="40"/>
      <c r="AM896" s="5"/>
      <c r="AO896" s="40"/>
      <c r="AP896" s="5"/>
      <c r="AR896" s="40"/>
      <c r="AS896" s="5"/>
      <c r="AU896" s="40"/>
      <c r="AV896" s="5"/>
      <c r="AX896" s="40"/>
      <c r="AY896" s="5"/>
      <c r="BA896" s="40"/>
      <c r="BB896" s="5"/>
      <c r="BD896" s="40"/>
      <c r="BE896" s="5"/>
      <c r="BG896" s="40"/>
      <c r="BH896" s="5"/>
      <c r="BJ896" s="40"/>
      <c r="BK896" s="5"/>
      <c r="BM896" s="40"/>
      <c r="BN896" s="5"/>
      <c r="BP896" s="40"/>
      <c r="BQ896" s="5"/>
      <c r="BS896" s="40"/>
      <c r="BT896" s="5"/>
      <c r="BV896" s="40"/>
      <c r="BW896" s="5"/>
      <c r="BY896" s="40"/>
      <c r="BZ896" s="5"/>
      <c r="CB896" s="40"/>
      <c r="CC896" s="5"/>
      <c r="CE896" s="40"/>
      <c r="CF896" s="5"/>
      <c r="CH896" s="40"/>
      <c r="CI896" s="5"/>
      <c r="CK896" s="40"/>
      <c r="CL896" s="5"/>
      <c r="CN896" s="40"/>
      <c r="CO896" s="5"/>
      <c r="CQ896" s="40"/>
      <c r="CR896" s="5"/>
    </row>
    <row r="897">
      <c r="AL897" s="40"/>
      <c r="AM897" s="5"/>
      <c r="AO897" s="40"/>
      <c r="AP897" s="5"/>
      <c r="AR897" s="40"/>
      <c r="AS897" s="5"/>
      <c r="AU897" s="40"/>
      <c r="AV897" s="5"/>
      <c r="AX897" s="40"/>
      <c r="AY897" s="5"/>
      <c r="BA897" s="40"/>
      <c r="BB897" s="5"/>
      <c r="BD897" s="40"/>
      <c r="BE897" s="5"/>
      <c r="BG897" s="40"/>
      <c r="BH897" s="5"/>
      <c r="BJ897" s="40"/>
      <c r="BK897" s="5"/>
      <c r="BM897" s="40"/>
      <c r="BN897" s="5"/>
      <c r="BP897" s="40"/>
      <c r="BQ897" s="5"/>
      <c r="BS897" s="40"/>
      <c r="BT897" s="5"/>
      <c r="BV897" s="40"/>
      <c r="BW897" s="5"/>
      <c r="BY897" s="40"/>
      <c r="BZ897" s="5"/>
      <c r="CB897" s="40"/>
      <c r="CC897" s="5"/>
      <c r="CE897" s="40"/>
      <c r="CF897" s="5"/>
      <c r="CH897" s="40"/>
      <c r="CI897" s="5"/>
      <c r="CK897" s="40"/>
      <c r="CL897" s="5"/>
      <c r="CN897" s="40"/>
      <c r="CO897" s="5"/>
      <c r="CQ897" s="40"/>
      <c r="CR897" s="5"/>
    </row>
    <row r="898">
      <c r="AL898" s="40"/>
      <c r="AM898" s="5"/>
      <c r="AO898" s="40"/>
      <c r="AP898" s="5"/>
      <c r="AR898" s="40"/>
      <c r="AS898" s="5"/>
      <c r="AU898" s="40"/>
      <c r="AV898" s="5"/>
      <c r="AX898" s="40"/>
      <c r="AY898" s="5"/>
      <c r="BA898" s="40"/>
      <c r="BB898" s="5"/>
      <c r="BD898" s="40"/>
      <c r="BE898" s="5"/>
      <c r="BG898" s="40"/>
      <c r="BH898" s="5"/>
      <c r="BJ898" s="40"/>
      <c r="BK898" s="5"/>
      <c r="BM898" s="40"/>
      <c r="BN898" s="5"/>
      <c r="BP898" s="40"/>
      <c r="BQ898" s="5"/>
      <c r="BS898" s="40"/>
      <c r="BT898" s="5"/>
      <c r="BV898" s="40"/>
      <c r="BW898" s="5"/>
      <c r="BY898" s="40"/>
      <c r="BZ898" s="5"/>
      <c r="CB898" s="40"/>
      <c r="CC898" s="5"/>
      <c r="CE898" s="40"/>
      <c r="CF898" s="5"/>
      <c r="CH898" s="40"/>
      <c r="CI898" s="5"/>
      <c r="CK898" s="40"/>
      <c r="CL898" s="5"/>
      <c r="CN898" s="40"/>
      <c r="CO898" s="5"/>
      <c r="CQ898" s="40"/>
      <c r="CR898" s="5"/>
    </row>
    <row r="899">
      <c r="AL899" s="40"/>
      <c r="AM899" s="5"/>
      <c r="AO899" s="40"/>
      <c r="AP899" s="5"/>
      <c r="AR899" s="40"/>
      <c r="AS899" s="5"/>
      <c r="AU899" s="40"/>
      <c r="AV899" s="5"/>
      <c r="AX899" s="40"/>
      <c r="AY899" s="5"/>
      <c r="BA899" s="40"/>
      <c r="BB899" s="5"/>
      <c r="BD899" s="40"/>
      <c r="BE899" s="5"/>
      <c r="BG899" s="40"/>
      <c r="BH899" s="5"/>
      <c r="BJ899" s="40"/>
      <c r="BK899" s="5"/>
      <c r="BM899" s="40"/>
      <c r="BN899" s="5"/>
      <c r="BP899" s="40"/>
      <c r="BQ899" s="5"/>
      <c r="BS899" s="40"/>
      <c r="BT899" s="5"/>
      <c r="BV899" s="40"/>
      <c r="BW899" s="5"/>
      <c r="BY899" s="40"/>
      <c r="BZ899" s="5"/>
      <c r="CB899" s="40"/>
      <c r="CC899" s="5"/>
      <c r="CE899" s="40"/>
      <c r="CF899" s="5"/>
      <c r="CH899" s="40"/>
      <c r="CI899" s="5"/>
      <c r="CK899" s="40"/>
      <c r="CL899" s="5"/>
      <c r="CN899" s="40"/>
      <c r="CO899" s="5"/>
      <c r="CQ899" s="40"/>
      <c r="CR899" s="5"/>
    </row>
    <row r="900">
      <c r="AL900" s="40"/>
      <c r="AM900" s="5"/>
      <c r="AO900" s="40"/>
      <c r="AP900" s="5"/>
      <c r="AR900" s="40"/>
      <c r="AS900" s="5"/>
      <c r="AU900" s="40"/>
      <c r="AV900" s="5"/>
      <c r="AX900" s="40"/>
      <c r="AY900" s="5"/>
      <c r="BA900" s="40"/>
      <c r="BB900" s="5"/>
      <c r="BD900" s="40"/>
      <c r="BE900" s="5"/>
      <c r="BG900" s="40"/>
      <c r="BH900" s="5"/>
      <c r="BJ900" s="40"/>
      <c r="BK900" s="5"/>
      <c r="BM900" s="40"/>
      <c r="BN900" s="5"/>
      <c r="BP900" s="40"/>
      <c r="BQ900" s="5"/>
      <c r="BS900" s="40"/>
      <c r="BT900" s="5"/>
      <c r="BV900" s="40"/>
      <c r="BW900" s="5"/>
      <c r="BY900" s="40"/>
      <c r="BZ900" s="5"/>
      <c r="CB900" s="40"/>
      <c r="CC900" s="5"/>
      <c r="CE900" s="40"/>
      <c r="CF900" s="5"/>
      <c r="CH900" s="40"/>
      <c r="CI900" s="5"/>
      <c r="CK900" s="40"/>
      <c r="CL900" s="5"/>
      <c r="CN900" s="40"/>
      <c r="CO900" s="5"/>
      <c r="CQ900" s="40"/>
      <c r="CR900" s="5"/>
    </row>
    <row r="901">
      <c r="AL901" s="40"/>
      <c r="AM901" s="5"/>
      <c r="AO901" s="40"/>
      <c r="AP901" s="5"/>
      <c r="AR901" s="40"/>
      <c r="AS901" s="5"/>
      <c r="AU901" s="40"/>
      <c r="AV901" s="5"/>
      <c r="AX901" s="40"/>
      <c r="AY901" s="5"/>
      <c r="BA901" s="40"/>
      <c r="BB901" s="5"/>
      <c r="BD901" s="40"/>
      <c r="BE901" s="5"/>
      <c r="BG901" s="40"/>
      <c r="BH901" s="5"/>
      <c r="BJ901" s="40"/>
      <c r="BK901" s="5"/>
      <c r="BM901" s="40"/>
      <c r="BN901" s="5"/>
      <c r="BP901" s="40"/>
      <c r="BQ901" s="5"/>
      <c r="BS901" s="40"/>
      <c r="BT901" s="5"/>
      <c r="BV901" s="40"/>
      <c r="BW901" s="5"/>
      <c r="BY901" s="40"/>
      <c r="BZ901" s="5"/>
      <c r="CB901" s="40"/>
      <c r="CC901" s="5"/>
      <c r="CE901" s="40"/>
      <c r="CF901" s="5"/>
      <c r="CH901" s="40"/>
      <c r="CI901" s="5"/>
      <c r="CK901" s="40"/>
      <c r="CL901" s="5"/>
      <c r="CN901" s="40"/>
      <c r="CO901" s="5"/>
      <c r="CQ901" s="40"/>
      <c r="CR901" s="5"/>
    </row>
    <row r="902">
      <c r="AL902" s="40"/>
      <c r="AM902" s="5"/>
      <c r="AO902" s="40"/>
      <c r="AP902" s="5"/>
      <c r="AR902" s="40"/>
      <c r="AS902" s="5"/>
      <c r="AU902" s="40"/>
      <c r="AV902" s="5"/>
      <c r="AX902" s="40"/>
      <c r="AY902" s="5"/>
      <c r="BA902" s="40"/>
      <c r="BB902" s="5"/>
      <c r="BD902" s="40"/>
      <c r="BE902" s="5"/>
      <c r="BG902" s="40"/>
      <c r="BH902" s="5"/>
      <c r="BJ902" s="40"/>
      <c r="BK902" s="5"/>
      <c r="BM902" s="40"/>
      <c r="BN902" s="5"/>
      <c r="BP902" s="40"/>
      <c r="BQ902" s="5"/>
      <c r="BS902" s="40"/>
      <c r="BT902" s="5"/>
      <c r="BV902" s="40"/>
      <c r="BW902" s="5"/>
      <c r="BY902" s="40"/>
      <c r="BZ902" s="5"/>
      <c r="CB902" s="40"/>
      <c r="CC902" s="5"/>
      <c r="CE902" s="40"/>
      <c r="CF902" s="5"/>
      <c r="CH902" s="40"/>
      <c r="CI902" s="5"/>
      <c r="CK902" s="40"/>
      <c r="CL902" s="5"/>
      <c r="CN902" s="40"/>
      <c r="CO902" s="5"/>
      <c r="CQ902" s="40"/>
      <c r="CR902" s="5"/>
    </row>
    <row r="903">
      <c r="AL903" s="40"/>
      <c r="AM903" s="5"/>
      <c r="AO903" s="40"/>
      <c r="AP903" s="5"/>
      <c r="AR903" s="40"/>
      <c r="AS903" s="5"/>
      <c r="AU903" s="40"/>
      <c r="AV903" s="5"/>
      <c r="AX903" s="40"/>
      <c r="AY903" s="5"/>
      <c r="BA903" s="40"/>
      <c r="BB903" s="5"/>
      <c r="BD903" s="40"/>
      <c r="BE903" s="5"/>
      <c r="BG903" s="40"/>
      <c r="BH903" s="5"/>
      <c r="BJ903" s="40"/>
      <c r="BK903" s="5"/>
      <c r="BM903" s="40"/>
      <c r="BN903" s="5"/>
      <c r="BP903" s="40"/>
      <c r="BQ903" s="5"/>
      <c r="BS903" s="40"/>
      <c r="BT903" s="5"/>
      <c r="BV903" s="40"/>
      <c r="BW903" s="5"/>
      <c r="BY903" s="40"/>
      <c r="BZ903" s="5"/>
      <c r="CB903" s="40"/>
      <c r="CC903" s="5"/>
      <c r="CE903" s="40"/>
      <c r="CF903" s="5"/>
      <c r="CH903" s="40"/>
      <c r="CI903" s="5"/>
      <c r="CK903" s="40"/>
      <c r="CL903" s="5"/>
      <c r="CN903" s="40"/>
      <c r="CO903" s="5"/>
      <c r="CQ903" s="40"/>
      <c r="CR903" s="5"/>
    </row>
    <row r="904">
      <c r="AL904" s="40"/>
      <c r="AM904" s="5"/>
      <c r="AO904" s="40"/>
      <c r="AP904" s="5"/>
      <c r="AR904" s="40"/>
      <c r="AS904" s="5"/>
      <c r="AU904" s="40"/>
      <c r="AV904" s="5"/>
      <c r="AX904" s="40"/>
      <c r="AY904" s="5"/>
      <c r="BA904" s="40"/>
      <c r="BB904" s="5"/>
      <c r="BD904" s="40"/>
      <c r="BE904" s="5"/>
      <c r="BG904" s="40"/>
      <c r="BH904" s="5"/>
      <c r="BJ904" s="40"/>
      <c r="BK904" s="5"/>
      <c r="BM904" s="40"/>
      <c r="BN904" s="5"/>
      <c r="BP904" s="40"/>
      <c r="BQ904" s="5"/>
      <c r="BS904" s="40"/>
      <c r="BT904" s="5"/>
      <c r="BV904" s="40"/>
      <c r="BW904" s="5"/>
      <c r="BY904" s="40"/>
      <c r="BZ904" s="5"/>
      <c r="CB904" s="40"/>
      <c r="CC904" s="5"/>
      <c r="CE904" s="40"/>
      <c r="CF904" s="5"/>
      <c r="CH904" s="40"/>
      <c r="CI904" s="5"/>
      <c r="CK904" s="40"/>
      <c r="CL904" s="5"/>
      <c r="CN904" s="40"/>
      <c r="CO904" s="5"/>
      <c r="CQ904" s="40"/>
      <c r="CR904" s="5"/>
    </row>
    <row r="905">
      <c r="AL905" s="40"/>
      <c r="AM905" s="5"/>
      <c r="AO905" s="40"/>
      <c r="AP905" s="5"/>
      <c r="AR905" s="40"/>
      <c r="AS905" s="5"/>
      <c r="AU905" s="40"/>
      <c r="AV905" s="5"/>
      <c r="AX905" s="40"/>
      <c r="AY905" s="5"/>
      <c r="BA905" s="40"/>
      <c r="BB905" s="5"/>
      <c r="BD905" s="40"/>
      <c r="BE905" s="5"/>
      <c r="BG905" s="40"/>
      <c r="BH905" s="5"/>
      <c r="BJ905" s="40"/>
      <c r="BK905" s="5"/>
      <c r="BM905" s="40"/>
      <c r="BN905" s="5"/>
      <c r="BP905" s="40"/>
      <c r="BQ905" s="5"/>
      <c r="BS905" s="40"/>
      <c r="BT905" s="5"/>
      <c r="BV905" s="40"/>
      <c r="BW905" s="5"/>
      <c r="BY905" s="40"/>
      <c r="BZ905" s="5"/>
      <c r="CB905" s="40"/>
      <c r="CC905" s="5"/>
      <c r="CE905" s="40"/>
      <c r="CF905" s="5"/>
      <c r="CH905" s="40"/>
      <c r="CI905" s="5"/>
      <c r="CK905" s="40"/>
      <c r="CL905" s="5"/>
      <c r="CN905" s="40"/>
      <c r="CO905" s="5"/>
      <c r="CQ905" s="40"/>
      <c r="CR905" s="5"/>
    </row>
    <row r="906">
      <c r="AL906" s="40"/>
      <c r="AM906" s="5"/>
      <c r="AO906" s="40"/>
      <c r="AP906" s="5"/>
      <c r="AR906" s="40"/>
      <c r="AS906" s="5"/>
      <c r="AU906" s="40"/>
      <c r="AV906" s="5"/>
      <c r="AX906" s="40"/>
      <c r="AY906" s="5"/>
      <c r="BA906" s="40"/>
      <c r="BB906" s="5"/>
      <c r="BD906" s="40"/>
      <c r="BE906" s="5"/>
      <c r="BG906" s="40"/>
      <c r="BH906" s="5"/>
      <c r="BJ906" s="40"/>
      <c r="BK906" s="5"/>
      <c r="BM906" s="40"/>
      <c r="BN906" s="5"/>
      <c r="BP906" s="40"/>
      <c r="BQ906" s="5"/>
      <c r="BS906" s="40"/>
      <c r="BT906" s="5"/>
      <c r="BV906" s="40"/>
      <c r="BW906" s="5"/>
      <c r="BY906" s="40"/>
      <c r="BZ906" s="5"/>
      <c r="CB906" s="40"/>
      <c r="CC906" s="5"/>
      <c r="CE906" s="40"/>
      <c r="CF906" s="5"/>
      <c r="CH906" s="40"/>
      <c r="CI906" s="5"/>
      <c r="CK906" s="40"/>
      <c r="CL906" s="5"/>
      <c r="CN906" s="40"/>
      <c r="CO906" s="5"/>
      <c r="CQ906" s="40"/>
      <c r="CR906" s="5"/>
    </row>
    <row r="907">
      <c r="AL907" s="40"/>
      <c r="AM907" s="5"/>
      <c r="AO907" s="40"/>
      <c r="AP907" s="5"/>
      <c r="AR907" s="40"/>
      <c r="AS907" s="5"/>
      <c r="AU907" s="40"/>
      <c r="AV907" s="5"/>
      <c r="AX907" s="40"/>
      <c r="AY907" s="5"/>
      <c r="BA907" s="40"/>
      <c r="BB907" s="5"/>
      <c r="BD907" s="40"/>
      <c r="BE907" s="5"/>
      <c r="BG907" s="40"/>
      <c r="BH907" s="5"/>
      <c r="BJ907" s="40"/>
      <c r="BK907" s="5"/>
      <c r="BM907" s="40"/>
      <c r="BN907" s="5"/>
      <c r="BP907" s="40"/>
      <c r="BQ907" s="5"/>
      <c r="BS907" s="40"/>
      <c r="BT907" s="5"/>
      <c r="BV907" s="40"/>
      <c r="BW907" s="5"/>
      <c r="BY907" s="40"/>
      <c r="BZ907" s="5"/>
      <c r="CB907" s="40"/>
      <c r="CC907" s="5"/>
      <c r="CE907" s="40"/>
      <c r="CF907" s="5"/>
      <c r="CH907" s="40"/>
      <c r="CI907" s="5"/>
      <c r="CK907" s="40"/>
      <c r="CL907" s="5"/>
      <c r="CN907" s="40"/>
      <c r="CO907" s="5"/>
      <c r="CQ907" s="40"/>
      <c r="CR907" s="5"/>
    </row>
    <row r="908">
      <c r="AL908" s="40"/>
      <c r="AM908" s="5"/>
      <c r="AO908" s="40"/>
      <c r="AP908" s="5"/>
      <c r="AR908" s="40"/>
      <c r="AS908" s="5"/>
      <c r="AU908" s="40"/>
      <c r="AV908" s="5"/>
      <c r="AX908" s="40"/>
      <c r="AY908" s="5"/>
      <c r="BA908" s="40"/>
      <c r="BB908" s="5"/>
      <c r="BD908" s="40"/>
      <c r="BE908" s="5"/>
      <c r="BG908" s="40"/>
      <c r="BH908" s="5"/>
      <c r="BJ908" s="40"/>
      <c r="BK908" s="5"/>
      <c r="BM908" s="40"/>
      <c r="BN908" s="5"/>
      <c r="BP908" s="40"/>
      <c r="BQ908" s="5"/>
      <c r="BS908" s="40"/>
      <c r="BT908" s="5"/>
      <c r="BV908" s="40"/>
      <c r="BW908" s="5"/>
      <c r="BY908" s="40"/>
      <c r="BZ908" s="5"/>
      <c r="CB908" s="40"/>
      <c r="CC908" s="5"/>
      <c r="CE908" s="40"/>
      <c r="CF908" s="5"/>
      <c r="CH908" s="40"/>
      <c r="CI908" s="5"/>
      <c r="CK908" s="40"/>
      <c r="CL908" s="5"/>
      <c r="CN908" s="40"/>
      <c r="CO908" s="5"/>
      <c r="CQ908" s="40"/>
      <c r="CR908" s="5"/>
    </row>
    <row r="909">
      <c r="AL909" s="40"/>
      <c r="AM909" s="5"/>
      <c r="AO909" s="40"/>
      <c r="AP909" s="5"/>
      <c r="AR909" s="40"/>
      <c r="AS909" s="5"/>
      <c r="AU909" s="40"/>
      <c r="AV909" s="5"/>
      <c r="AX909" s="40"/>
      <c r="AY909" s="5"/>
      <c r="BA909" s="40"/>
      <c r="BB909" s="5"/>
      <c r="BD909" s="40"/>
      <c r="BE909" s="5"/>
      <c r="BG909" s="40"/>
      <c r="BH909" s="5"/>
      <c r="BJ909" s="40"/>
      <c r="BK909" s="5"/>
      <c r="BM909" s="40"/>
      <c r="BN909" s="5"/>
      <c r="BP909" s="40"/>
      <c r="BQ909" s="5"/>
      <c r="BS909" s="40"/>
      <c r="BT909" s="5"/>
      <c r="BV909" s="40"/>
      <c r="BW909" s="5"/>
      <c r="BY909" s="40"/>
      <c r="BZ909" s="5"/>
      <c r="CB909" s="40"/>
      <c r="CC909" s="5"/>
      <c r="CE909" s="40"/>
      <c r="CF909" s="5"/>
      <c r="CH909" s="40"/>
      <c r="CI909" s="5"/>
      <c r="CK909" s="40"/>
      <c r="CL909" s="5"/>
      <c r="CN909" s="40"/>
      <c r="CO909" s="5"/>
      <c r="CQ909" s="40"/>
      <c r="CR909" s="5"/>
    </row>
    <row r="910">
      <c r="AL910" s="40"/>
      <c r="AM910" s="5"/>
      <c r="AO910" s="40"/>
      <c r="AP910" s="5"/>
      <c r="AR910" s="40"/>
      <c r="AS910" s="5"/>
      <c r="AU910" s="40"/>
      <c r="AV910" s="5"/>
      <c r="AX910" s="40"/>
      <c r="AY910" s="5"/>
      <c r="BA910" s="40"/>
      <c r="BB910" s="5"/>
      <c r="BD910" s="40"/>
      <c r="BE910" s="5"/>
      <c r="BG910" s="40"/>
      <c r="BH910" s="5"/>
      <c r="BJ910" s="40"/>
      <c r="BK910" s="5"/>
      <c r="BM910" s="40"/>
      <c r="BN910" s="5"/>
      <c r="BP910" s="40"/>
      <c r="BQ910" s="5"/>
      <c r="BS910" s="40"/>
      <c r="BT910" s="5"/>
      <c r="BV910" s="40"/>
      <c r="BW910" s="5"/>
      <c r="BY910" s="40"/>
      <c r="BZ910" s="5"/>
      <c r="CB910" s="40"/>
      <c r="CC910" s="5"/>
      <c r="CE910" s="40"/>
      <c r="CF910" s="5"/>
      <c r="CH910" s="40"/>
      <c r="CI910" s="5"/>
      <c r="CK910" s="40"/>
      <c r="CL910" s="5"/>
      <c r="CN910" s="40"/>
      <c r="CO910" s="5"/>
      <c r="CQ910" s="40"/>
      <c r="CR910" s="5"/>
    </row>
    <row r="911">
      <c r="AL911" s="40"/>
      <c r="AM911" s="5"/>
      <c r="AO911" s="40"/>
      <c r="AP911" s="5"/>
      <c r="AR911" s="40"/>
      <c r="AS911" s="5"/>
      <c r="AU911" s="40"/>
      <c r="AV911" s="5"/>
      <c r="AX911" s="40"/>
      <c r="AY911" s="5"/>
      <c r="BA911" s="40"/>
      <c r="BB911" s="5"/>
      <c r="BD911" s="40"/>
      <c r="BE911" s="5"/>
      <c r="BG911" s="40"/>
      <c r="BH911" s="5"/>
      <c r="BJ911" s="40"/>
      <c r="BK911" s="5"/>
      <c r="BM911" s="40"/>
      <c r="BN911" s="5"/>
      <c r="BP911" s="40"/>
      <c r="BQ911" s="5"/>
      <c r="BS911" s="40"/>
      <c r="BT911" s="5"/>
      <c r="BV911" s="40"/>
      <c r="BW911" s="5"/>
      <c r="BY911" s="40"/>
      <c r="BZ911" s="5"/>
      <c r="CB911" s="40"/>
      <c r="CC911" s="5"/>
      <c r="CE911" s="40"/>
      <c r="CF911" s="5"/>
      <c r="CH911" s="40"/>
      <c r="CI911" s="5"/>
      <c r="CK911" s="40"/>
      <c r="CL911" s="5"/>
      <c r="CN911" s="40"/>
      <c r="CO911" s="5"/>
      <c r="CQ911" s="40"/>
      <c r="CR911" s="5"/>
    </row>
    <row r="912">
      <c r="AL912" s="40"/>
      <c r="AM912" s="5"/>
      <c r="AO912" s="40"/>
      <c r="AP912" s="5"/>
      <c r="AR912" s="40"/>
      <c r="AS912" s="5"/>
      <c r="AU912" s="40"/>
      <c r="AV912" s="5"/>
      <c r="AX912" s="40"/>
      <c r="AY912" s="5"/>
      <c r="BA912" s="40"/>
      <c r="BB912" s="5"/>
      <c r="BD912" s="40"/>
      <c r="BE912" s="5"/>
      <c r="BG912" s="40"/>
      <c r="BH912" s="5"/>
      <c r="BJ912" s="40"/>
      <c r="BK912" s="5"/>
      <c r="BM912" s="40"/>
      <c r="BN912" s="5"/>
      <c r="BP912" s="40"/>
      <c r="BQ912" s="5"/>
      <c r="BS912" s="40"/>
      <c r="BT912" s="5"/>
      <c r="BV912" s="40"/>
      <c r="BW912" s="5"/>
      <c r="BY912" s="40"/>
      <c r="BZ912" s="5"/>
      <c r="CB912" s="40"/>
      <c r="CC912" s="5"/>
      <c r="CE912" s="40"/>
      <c r="CF912" s="5"/>
      <c r="CH912" s="40"/>
      <c r="CI912" s="5"/>
      <c r="CK912" s="40"/>
      <c r="CL912" s="5"/>
      <c r="CN912" s="40"/>
      <c r="CO912" s="5"/>
      <c r="CQ912" s="40"/>
      <c r="CR912" s="5"/>
    </row>
    <row r="913">
      <c r="AL913" s="40"/>
      <c r="AM913" s="5"/>
      <c r="AO913" s="40"/>
      <c r="AP913" s="5"/>
      <c r="AR913" s="40"/>
      <c r="AS913" s="5"/>
      <c r="AU913" s="40"/>
      <c r="AV913" s="5"/>
      <c r="AX913" s="40"/>
      <c r="AY913" s="5"/>
      <c r="BA913" s="40"/>
      <c r="BB913" s="5"/>
      <c r="BD913" s="40"/>
      <c r="BE913" s="5"/>
      <c r="BG913" s="40"/>
      <c r="BH913" s="5"/>
      <c r="BJ913" s="40"/>
      <c r="BK913" s="5"/>
      <c r="BM913" s="40"/>
      <c r="BN913" s="5"/>
      <c r="BP913" s="40"/>
      <c r="BQ913" s="5"/>
      <c r="BS913" s="40"/>
      <c r="BT913" s="5"/>
      <c r="BV913" s="40"/>
      <c r="BW913" s="5"/>
      <c r="BY913" s="40"/>
      <c r="BZ913" s="5"/>
      <c r="CB913" s="40"/>
      <c r="CC913" s="5"/>
      <c r="CE913" s="40"/>
      <c r="CF913" s="5"/>
      <c r="CH913" s="40"/>
      <c r="CI913" s="5"/>
      <c r="CK913" s="40"/>
      <c r="CL913" s="5"/>
      <c r="CN913" s="40"/>
      <c r="CO913" s="5"/>
      <c r="CQ913" s="40"/>
      <c r="CR913" s="5"/>
    </row>
    <row r="914">
      <c r="AL914" s="40"/>
      <c r="AM914" s="5"/>
      <c r="AO914" s="40"/>
      <c r="AP914" s="5"/>
      <c r="AR914" s="40"/>
      <c r="AS914" s="5"/>
      <c r="AU914" s="40"/>
      <c r="AV914" s="5"/>
      <c r="AX914" s="40"/>
      <c r="AY914" s="5"/>
      <c r="BA914" s="40"/>
      <c r="BB914" s="5"/>
      <c r="BD914" s="40"/>
      <c r="BE914" s="5"/>
      <c r="BG914" s="40"/>
      <c r="BH914" s="5"/>
      <c r="BJ914" s="40"/>
      <c r="BK914" s="5"/>
      <c r="BM914" s="40"/>
      <c r="BN914" s="5"/>
      <c r="BP914" s="40"/>
      <c r="BQ914" s="5"/>
      <c r="BS914" s="40"/>
      <c r="BT914" s="5"/>
      <c r="BV914" s="40"/>
      <c r="BW914" s="5"/>
      <c r="BY914" s="40"/>
      <c r="BZ914" s="5"/>
      <c r="CB914" s="40"/>
      <c r="CC914" s="5"/>
      <c r="CE914" s="40"/>
      <c r="CF914" s="5"/>
      <c r="CH914" s="40"/>
      <c r="CI914" s="5"/>
      <c r="CK914" s="40"/>
      <c r="CL914" s="5"/>
      <c r="CN914" s="40"/>
      <c r="CO914" s="5"/>
      <c r="CQ914" s="40"/>
      <c r="CR914" s="5"/>
    </row>
    <row r="915">
      <c r="AL915" s="40"/>
      <c r="AM915" s="5"/>
      <c r="AO915" s="40"/>
      <c r="AP915" s="5"/>
      <c r="AR915" s="40"/>
      <c r="AS915" s="5"/>
      <c r="AU915" s="40"/>
      <c r="AV915" s="5"/>
      <c r="AX915" s="40"/>
      <c r="AY915" s="5"/>
      <c r="BA915" s="40"/>
      <c r="BB915" s="5"/>
      <c r="BD915" s="40"/>
      <c r="BE915" s="5"/>
      <c r="BG915" s="40"/>
      <c r="BH915" s="5"/>
      <c r="BJ915" s="40"/>
      <c r="BK915" s="5"/>
      <c r="BM915" s="40"/>
      <c r="BN915" s="5"/>
      <c r="BP915" s="40"/>
      <c r="BQ915" s="5"/>
      <c r="BS915" s="40"/>
      <c r="BT915" s="5"/>
      <c r="BV915" s="40"/>
      <c r="BW915" s="5"/>
      <c r="BY915" s="40"/>
      <c r="BZ915" s="5"/>
      <c r="CB915" s="40"/>
      <c r="CC915" s="5"/>
      <c r="CE915" s="40"/>
      <c r="CF915" s="5"/>
      <c r="CH915" s="40"/>
      <c r="CI915" s="5"/>
      <c r="CK915" s="40"/>
      <c r="CL915" s="5"/>
      <c r="CN915" s="40"/>
      <c r="CO915" s="5"/>
      <c r="CQ915" s="40"/>
      <c r="CR915" s="5"/>
    </row>
    <row r="916">
      <c r="AL916" s="40"/>
      <c r="AM916" s="5"/>
      <c r="AO916" s="40"/>
      <c r="AP916" s="5"/>
      <c r="AR916" s="40"/>
      <c r="AS916" s="5"/>
      <c r="AU916" s="40"/>
      <c r="AV916" s="5"/>
      <c r="AX916" s="40"/>
      <c r="AY916" s="5"/>
      <c r="BA916" s="40"/>
      <c r="BB916" s="5"/>
      <c r="BD916" s="40"/>
      <c r="BE916" s="5"/>
      <c r="BG916" s="40"/>
      <c r="BH916" s="5"/>
      <c r="BJ916" s="40"/>
      <c r="BK916" s="5"/>
      <c r="BM916" s="40"/>
      <c r="BN916" s="5"/>
      <c r="BP916" s="40"/>
      <c r="BQ916" s="5"/>
      <c r="BS916" s="40"/>
      <c r="BT916" s="5"/>
      <c r="BV916" s="40"/>
      <c r="BW916" s="5"/>
      <c r="BY916" s="40"/>
      <c r="BZ916" s="5"/>
      <c r="CB916" s="40"/>
      <c r="CC916" s="5"/>
      <c r="CE916" s="40"/>
      <c r="CF916" s="5"/>
      <c r="CH916" s="40"/>
      <c r="CI916" s="5"/>
      <c r="CK916" s="40"/>
      <c r="CL916" s="5"/>
      <c r="CN916" s="40"/>
      <c r="CO916" s="5"/>
      <c r="CQ916" s="40"/>
      <c r="CR916" s="5"/>
    </row>
    <row r="917">
      <c r="AL917" s="40"/>
      <c r="AM917" s="5"/>
      <c r="AO917" s="40"/>
      <c r="AP917" s="5"/>
      <c r="AR917" s="40"/>
      <c r="AS917" s="5"/>
      <c r="AU917" s="40"/>
      <c r="AV917" s="5"/>
      <c r="AX917" s="40"/>
      <c r="AY917" s="5"/>
      <c r="BA917" s="40"/>
      <c r="BB917" s="5"/>
      <c r="BD917" s="40"/>
      <c r="BE917" s="5"/>
      <c r="BG917" s="40"/>
      <c r="BH917" s="5"/>
      <c r="BJ917" s="40"/>
      <c r="BK917" s="5"/>
      <c r="BM917" s="40"/>
      <c r="BN917" s="5"/>
      <c r="BP917" s="40"/>
      <c r="BQ917" s="5"/>
      <c r="BS917" s="40"/>
      <c r="BT917" s="5"/>
      <c r="BV917" s="40"/>
      <c r="BW917" s="5"/>
      <c r="BY917" s="40"/>
      <c r="BZ917" s="5"/>
      <c r="CB917" s="40"/>
      <c r="CC917" s="5"/>
      <c r="CE917" s="40"/>
      <c r="CF917" s="5"/>
      <c r="CH917" s="40"/>
      <c r="CI917" s="5"/>
      <c r="CK917" s="40"/>
      <c r="CL917" s="5"/>
      <c r="CN917" s="40"/>
      <c r="CO917" s="5"/>
      <c r="CQ917" s="40"/>
      <c r="CR917" s="5"/>
    </row>
    <row r="918">
      <c r="AL918" s="40"/>
      <c r="AM918" s="5"/>
      <c r="AO918" s="40"/>
      <c r="AP918" s="5"/>
      <c r="AR918" s="40"/>
      <c r="AS918" s="5"/>
      <c r="AU918" s="40"/>
      <c r="AV918" s="5"/>
      <c r="AX918" s="40"/>
      <c r="AY918" s="5"/>
      <c r="BA918" s="40"/>
      <c r="BB918" s="5"/>
      <c r="BD918" s="40"/>
      <c r="BE918" s="5"/>
      <c r="BG918" s="40"/>
      <c r="BH918" s="5"/>
      <c r="BJ918" s="40"/>
      <c r="BK918" s="5"/>
      <c r="BM918" s="40"/>
      <c r="BN918" s="5"/>
      <c r="BP918" s="40"/>
      <c r="BQ918" s="5"/>
      <c r="BS918" s="40"/>
      <c r="BT918" s="5"/>
      <c r="BV918" s="40"/>
      <c r="BW918" s="5"/>
      <c r="BY918" s="40"/>
      <c r="BZ918" s="5"/>
      <c r="CB918" s="40"/>
      <c r="CC918" s="5"/>
      <c r="CE918" s="40"/>
      <c r="CF918" s="5"/>
      <c r="CH918" s="40"/>
      <c r="CI918" s="5"/>
      <c r="CK918" s="40"/>
      <c r="CL918" s="5"/>
      <c r="CN918" s="40"/>
      <c r="CO918" s="5"/>
      <c r="CQ918" s="40"/>
      <c r="CR918" s="5"/>
    </row>
    <row r="919">
      <c r="AL919" s="40"/>
      <c r="AM919" s="5"/>
      <c r="AO919" s="40"/>
      <c r="AP919" s="5"/>
      <c r="AR919" s="40"/>
      <c r="AS919" s="5"/>
      <c r="AU919" s="40"/>
      <c r="AV919" s="5"/>
      <c r="AX919" s="40"/>
      <c r="AY919" s="5"/>
      <c r="BA919" s="40"/>
      <c r="BB919" s="5"/>
      <c r="BD919" s="40"/>
      <c r="BE919" s="5"/>
      <c r="BG919" s="40"/>
      <c r="BH919" s="5"/>
      <c r="BJ919" s="40"/>
      <c r="BK919" s="5"/>
      <c r="BM919" s="40"/>
      <c r="BN919" s="5"/>
      <c r="BP919" s="40"/>
      <c r="BQ919" s="5"/>
      <c r="BS919" s="40"/>
      <c r="BT919" s="5"/>
      <c r="BV919" s="40"/>
      <c r="BW919" s="5"/>
      <c r="BY919" s="40"/>
      <c r="BZ919" s="5"/>
      <c r="CB919" s="40"/>
      <c r="CC919" s="5"/>
      <c r="CE919" s="40"/>
      <c r="CF919" s="5"/>
      <c r="CH919" s="40"/>
      <c r="CI919" s="5"/>
      <c r="CK919" s="40"/>
      <c r="CL919" s="5"/>
      <c r="CN919" s="40"/>
      <c r="CO919" s="5"/>
      <c r="CQ919" s="40"/>
      <c r="CR919" s="5"/>
    </row>
    <row r="920">
      <c r="AL920" s="40"/>
      <c r="AM920" s="5"/>
      <c r="AO920" s="40"/>
      <c r="AP920" s="5"/>
      <c r="AR920" s="40"/>
      <c r="AS920" s="5"/>
      <c r="AU920" s="40"/>
      <c r="AV920" s="5"/>
      <c r="AX920" s="40"/>
      <c r="AY920" s="5"/>
      <c r="BA920" s="40"/>
      <c r="BB920" s="5"/>
      <c r="BD920" s="40"/>
      <c r="BE920" s="5"/>
      <c r="BG920" s="40"/>
      <c r="BH920" s="5"/>
      <c r="BJ920" s="40"/>
      <c r="BK920" s="5"/>
      <c r="BM920" s="40"/>
      <c r="BN920" s="5"/>
      <c r="BP920" s="40"/>
      <c r="BQ920" s="5"/>
      <c r="BS920" s="40"/>
      <c r="BT920" s="5"/>
      <c r="BV920" s="40"/>
      <c r="BW920" s="5"/>
      <c r="BY920" s="40"/>
      <c r="BZ920" s="5"/>
      <c r="CB920" s="40"/>
      <c r="CC920" s="5"/>
      <c r="CE920" s="40"/>
      <c r="CF920" s="5"/>
      <c r="CH920" s="40"/>
      <c r="CI920" s="5"/>
      <c r="CK920" s="40"/>
      <c r="CL920" s="5"/>
      <c r="CN920" s="40"/>
      <c r="CO920" s="5"/>
      <c r="CQ920" s="40"/>
      <c r="CR920" s="5"/>
    </row>
    <row r="921">
      <c r="AL921" s="40"/>
      <c r="AM921" s="5"/>
      <c r="AO921" s="40"/>
      <c r="AP921" s="5"/>
      <c r="AR921" s="40"/>
      <c r="AS921" s="5"/>
      <c r="AU921" s="40"/>
      <c r="AV921" s="5"/>
      <c r="AX921" s="40"/>
      <c r="AY921" s="5"/>
      <c r="BA921" s="40"/>
      <c r="BB921" s="5"/>
      <c r="BD921" s="40"/>
      <c r="BE921" s="5"/>
      <c r="BG921" s="40"/>
      <c r="BH921" s="5"/>
      <c r="BJ921" s="40"/>
      <c r="BK921" s="5"/>
      <c r="BM921" s="40"/>
      <c r="BN921" s="5"/>
      <c r="BP921" s="40"/>
      <c r="BQ921" s="5"/>
      <c r="BS921" s="40"/>
      <c r="BT921" s="5"/>
      <c r="BV921" s="40"/>
      <c r="BW921" s="5"/>
      <c r="BY921" s="40"/>
      <c r="BZ921" s="5"/>
      <c r="CB921" s="40"/>
      <c r="CC921" s="5"/>
      <c r="CE921" s="40"/>
      <c r="CF921" s="5"/>
      <c r="CH921" s="40"/>
      <c r="CI921" s="5"/>
      <c r="CK921" s="40"/>
      <c r="CL921" s="5"/>
      <c r="CN921" s="40"/>
      <c r="CO921" s="5"/>
      <c r="CQ921" s="40"/>
      <c r="CR921" s="5"/>
    </row>
    <row r="922">
      <c r="AL922" s="40"/>
      <c r="AM922" s="5"/>
      <c r="AO922" s="40"/>
      <c r="AP922" s="5"/>
      <c r="AR922" s="40"/>
      <c r="AS922" s="5"/>
      <c r="AU922" s="40"/>
      <c r="AV922" s="5"/>
      <c r="AX922" s="40"/>
      <c r="AY922" s="5"/>
      <c r="BA922" s="40"/>
      <c r="BB922" s="5"/>
      <c r="BD922" s="40"/>
      <c r="BE922" s="5"/>
      <c r="BG922" s="40"/>
      <c r="BH922" s="5"/>
      <c r="BJ922" s="40"/>
      <c r="BK922" s="5"/>
      <c r="BM922" s="40"/>
      <c r="BN922" s="5"/>
      <c r="BP922" s="40"/>
      <c r="BQ922" s="5"/>
      <c r="BS922" s="40"/>
      <c r="BT922" s="5"/>
      <c r="BV922" s="40"/>
      <c r="BW922" s="5"/>
      <c r="BY922" s="40"/>
      <c r="BZ922" s="5"/>
      <c r="CB922" s="40"/>
      <c r="CC922" s="5"/>
      <c r="CE922" s="40"/>
      <c r="CF922" s="5"/>
      <c r="CH922" s="40"/>
      <c r="CI922" s="5"/>
      <c r="CK922" s="40"/>
      <c r="CL922" s="5"/>
      <c r="CN922" s="40"/>
      <c r="CO922" s="5"/>
      <c r="CQ922" s="40"/>
      <c r="CR922" s="5"/>
    </row>
    <row r="923">
      <c r="AL923" s="40"/>
      <c r="AM923" s="5"/>
      <c r="AO923" s="40"/>
      <c r="AP923" s="5"/>
      <c r="AR923" s="40"/>
      <c r="AS923" s="5"/>
      <c r="AU923" s="40"/>
      <c r="AV923" s="5"/>
      <c r="AX923" s="40"/>
      <c r="AY923" s="5"/>
      <c r="BA923" s="40"/>
      <c r="BB923" s="5"/>
      <c r="BD923" s="40"/>
      <c r="BE923" s="5"/>
      <c r="BG923" s="40"/>
      <c r="BH923" s="5"/>
      <c r="BJ923" s="40"/>
      <c r="BK923" s="5"/>
      <c r="BM923" s="40"/>
      <c r="BN923" s="5"/>
      <c r="BP923" s="40"/>
      <c r="BQ923" s="5"/>
      <c r="BS923" s="40"/>
      <c r="BT923" s="5"/>
      <c r="BV923" s="40"/>
      <c r="BW923" s="5"/>
      <c r="BY923" s="40"/>
      <c r="BZ923" s="5"/>
      <c r="CB923" s="40"/>
      <c r="CC923" s="5"/>
      <c r="CE923" s="40"/>
      <c r="CF923" s="5"/>
      <c r="CH923" s="40"/>
      <c r="CI923" s="5"/>
      <c r="CK923" s="40"/>
      <c r="CL923" s="5"/>
      <c r="CN923" s="40"/>
      <c r="CO923" s="5"/>
      <c r="CQ923" s="40"/>
      <c r="CR923" s="5"/>
    </row>
    <row r="924">
      <c r="AL924" s="40"/>
      <c r="AM924" s="5"/>
      <c r="AO924" s="40"/>
      <c r="AP924" s="5"/>
      <c r="AR924" s="40"/>
      <c r="AS924" s="5"/>
      <c r="AU924" s="40"/>
      <c r="AV924" s="5"/>
      <c r="AX924" s="40"/>
      <c r="AY924" s="5"/>
      <c r="BA924" s="40"/>
      <c r="BB924" s="5"/>
      <c r="BD924" s="40"/>
      <c r="BE924" s="5"/>
      <c r="BG924" s="40"/>
      <c r="BH924" s="5"/>
      <c r="BJ924" s="40"/>
      <c r="BK924" s="5"/>
      <c r="BM924" s="40"/>
      <c r="BN924" s="5"/>
      <c r="BP924" s="40"/>
      <c r="BQ924" s="5"/>
      <c r="BS924" s="40"/>
      <c r="BT924" s="5"/>
      <c r="BV924" s="40"/>
      <c r="BW924" s="5"/>
      <c r="BY924" s="40"/>
      <c r="BZ924" s="5"/>
      <c r="CB924" s="40"/>
      <c r="CC924" s="5"/>
      <c r="CE924" s="40"/>
      <c r="CF924" s="5"/>
      <c r="CH924" s="40"/>
      <c r="CI924" s="5"/>
      <c r="CK924" s="40"/>
      <c r="CL924" s="5"/>
      <c r="CN924" s="40"/>
      <c r="CO924" s="5"/>
      <c r="CQ924" s="40"/>
      <c r="CR924" s="5"/>
    </row>
    <row r="925">
      <c r="AL925" s="40"/>
      <c r="AM925" s="5"/>
      <c r="AO925" s="40"/>
      <c r="AP925" s="5"/>
      <c r="AR925" s="40"/>
      <c r="AS925" s="5"/>
      <c r="AU925" s="40"/>
      <c r="AV925" s="5"/>
      <c r="AX925" s="40"/>
      <c r="AY925" s="5"/>
      <c r="BA925" s="40"/>
      <c r="BB925" s="5"/>
      <c r="BD925" s="40"/>
      <c r="BE925" s="5"/>
      <c r="BG925" s="40"/>
      <c r="BH925" s="5"/>
      <c r="BJ925" s="40"/>
      <c r="BK925" s="5"/>
      <c r="BM925" s="40"/>
      <c r="BN925" s="5"/>
      <c r="BP925" s="40"/>
      <c r="BQ925" s="5"/>
      <c r="BS925" s="40"/>
      <c r="BT925" s="5"/>
      <c r="BV925" s="40"/>
      <c r="BW925" s="5"/>
      <c r="BY925" s="40"/>
      <c r="BZ925" s="5"/>
      <c r="CB925" s="40"/>
      <c r="CC925" s="5"/>
      <c r="CE925" s="40"/>
      <c r="CF925" s="5"/>
      <c r="CH925" s="40"/>
      <c r="CI925" s="5"/>
      <c r="CK925" s="40"/>
      <c r="CL925" s="5"/>
      <c r="CN925" s="40"/>
      <c r="CO925" s="5"/>
      <c r="CQ925" s="40"/>
      <c r="CR925" s="5"/>
    </row>
    <row r="926">
      <c r="AL926" s="40"/>
      <c r="AM926" s="5"/>
      <c r="AO926" s="40"/>
      <c r="AP926" s="5"/>
      <c r="AR926" s="40"/>
      <c r="AS926" s="5"/>
      <c r="AU926" s="40"/>
      <c r="AV926" s="5"/>
      <c r="AX926" s="40"/>
      <c r="AY926" s="5"/>
      <c r="BA926" s="40"/>
      <c r="BB926" s="5"/>
      <c r="BD926" s="40"/>
      <c r="BE926" s="5"/>
      <c r="BG926" s="40"/>
      <c r="BH926" s="5"/>
      <c r="BJ926" s="40"/>
      <c r="BK926" s="5"/>
      <c r="BM926" s="40"/>
      <c r="BN926" s="5"/>
      <c r="BP926" s="40"/>
      <c r="BQ926" s="5"/>
      <c r="BS926" s="40"/>
      <c r="BT926" s="5"/>
      <c r="BV926" s="40"/>
      <c r="BW926" s="5"/>
      <c r="BY926" s="40"/>
      <c r="BZ926" s="5"/>
      <c r="CB926" s="40"/>
      <c r="CC926" s="5"/>
      <c r="CE926" s="40"/>
      <c r="CF926" s="5"/>
      <c r="CH926" s="40"/>
      <c r="CI926" s="5"/>
      <c r="CK926" s="40"/>
      <c r="CL926" s="5"/>
      <c r="CN926" s="40"/>
      <c r="CO926" s="5"/>
      <c r="CQ926" s="40"/>
      <c r="CR926" s="5"/>
    </row>
    <row r="927">
      <c r="AL927" s="40"/>
      <c r="AM927" s="5"/>
      <c r="AO927" s="40"/>
      <c r="AP927" s="5"/>
      <c r="AR927" s="40"/>
      <c r="AS927" s="5"/>
      <c r="AU927" s="40"/>
      <c r="AV927" s="5"/>
      <c r="AX927" s="40"/>
      <c r="AY927" s="5"/>
      <c r="BA927" s="40"/>
      <c r="BB927" s="5"/>
      <c r="BD927" s="40"/>
      <c r="BE927" s="5"/>
      <c r="BG927" s="40"/>
      <c r="BH927" s="5"/>
      <c r="BJ927" s="40"/>
      <c r="BK927" s="5"/>
      <c r="BM927" s="40"/>
      <c r="BN927" s="5"/>
      <c r="BP927" s="40"/>
      <c r="BQ927" s="5"/>
      <c r="BS927" s="40"/>
      <c r="BT927" s="5"/>
      <c r="BV927" s="40"/>
      <c r="BW927" s="5"/>
      <c r="BY927" s="40"/>
      <c r="BZ927" s="5"/>
      <c r="CB927" s="40"/>
      <c r="CC927" s="5"/>
      <c r="CE927" s="40"/>
      <c r="CF927" s="5"/>
      <c r="CH927" s="40"/>
      <c r="CI927" s="5"/>
      <c r="CK927" s="40"/>
      <c r="CL927" s="5"/>
      <c r="CN927" s="40"/>
      <c r="CO927" s="5"/>
      <c r="CQ927" s="40"/>
      <c r="CR927" s="5"/>
    </row>
    <row r="928">
      <c r="AL928" s="40"/>
      <c r="AM928" s="5"/>
      <c r="AO928" s="40"/>
      <c r="AP928" s="5"/>
      <c r="AR928" s="40"/>
      <c r="AS928" s="5"/>
      <c r="AU928" s="40"/>
      <c r="AV928" s="5"/>
      <c r="AX928" s="40"/>
      <c r="AY928" s="5"/>
      <c r="BA928" s="40"/>
      <c r="BB928" s="5"/>
      <c r="BD928" s="40"/>
      <c r="BE928" s="5"/>
      <c r="BG928" s="40"/>
      <c r="BH928" s="5"/>
      <c r="BJ928" s="40"/>
      <c r="BK928" s="5"/>
      <c r="BM928" s="40"/>
      <c r="BN928" s="5"/>
      <c r="BP928" s="40"/>
      <c r="BQ928" s="5"/>
      <c r="BS928" s="40"/>
      <c r="BT928" s="5"/>
      <c r="BV928" s="40"/>
      <c r="BW928" s="5"/>
      <c r="BY928" s="40"/>
      <c r="BZ928" s="5"/>
      <c r="CB928" s="40"/>
      <c r="CC928" s="5"/>
      <c r="CE928" s="40"/>
      <c r="CF928" s="5"/>
      <c r="CH928" s="40"/>
      <c r="CI928" s="5"/>
      <c r="CK928" s="40"/>
      <c r="CL928" s="5"/>
      <c r="CN928" s="40"/>
      <c r="CO928" s="5"/>
      <c r="CQ928" s="40"/>
      <c r="CR928" s="5"/>
    </row>
    <row r="929">
      <c r="AL929" s="40"/>
      <c r="AM929" s="5"/>
      <c r="AO929" s="40"/>
      <c r="AP929" s="5"/>
      <c r="AR929" s="40"/>
      <c r="AS929" s="5"/>
      <c r="AU929" s="40"/>
      <c r="AV929" s="5"/>
      <c r="AX929" s="40"/>
      <c r="AY929" s="5"/>
      <c r="BA929" s="40"/>
      <c r="BB929" s="5"/>
      <c r="BD929" s="40"/>
      <c r="BE929" s="5"/>
      <c r="BG929" s="40"/>
      <c r="BH929" s="5"/>
      <c r="BJ929" s="40"/>
      <c r="BK929" s="5"/>
      <c r="BM929" s="40"/>
      <c r="BN929" s="5"/>
      <c r="BP929" s="40"/>
      <c r="BQ929" s="5"/>
      <c r="BS929" s="40"/>
      <c r="BT929" s="5"/>
      <c r="BV929" s="40"/>
      <c r="BW929" s="5"/>
      <c r="BY929" s="40"/>
      <c r="BZ929" s="5"/>
      <c r="CB929" s="40"/>
      <c r="CC929" s="5"/>
      <c r="CE929" s="40"/>
      <c r="CF929" s="5"/>
      <c r="CH929" s="40"/>
      <c r="CI929" s="5"/>
      <c r="CK929" s="40"/>
      <c r="CL929" s="5"/>
      <c r="CN929" s="40"/>
      <c r="CO929" s="5"/>
      <c r="CQ929" s="40"/>
      <c r="CR929" s="5"/>
    </row>
    <row r="930">
      <c r="AL930" s="40"/>
      <c r="AM930" s="5"/>
      <c r="AO930" s="40"/>
      <c r="AP930" s="5"/>
      <c r="AR930" s="40"/>
      <c r="AS930" s="5"/>
      <c r="AU930" s="40"/>
      <c r="AV930" s="5"/>
      <c r="AX930" s="40"/>
      <c r="AY930" s="5"/>
      <c r="BA930" s="40"/>
      <c r="BB930" s="5"/>
      <c r="BD930" s="40"/>
      <c r="BE930" s="5"/>
      <c r="BG930" s="40"/>
      <c r="BH930" s="5"/>
      <c r="BJ930" s="40"/>
      <c r="BK930" s="5"/>
      <c r="BM930" s="40"/>
      <c r="BN930" s="5"/>
      <c r="BP930" s="40"/>
      <c r="BQ930" s="5"/>
      <c r="BS930" s="40"/>
      <c r="BT930" s="5"/>
      <c r="BV930" s="40"/>
      <c r="BW930" s="5"/>
      <c r="BY930" s="40"/>
      <c r="BZ930" s="5"/>
      <c r="CB930" s="40"/>
      <c r="CC930" s="5"/>
      <c r="CE930" s="40"/>
      <c r="CF930" s="5"/>
      <c r="CH930" s="40"/>
      <c r="CI930" s="5"/>
      <c r="CK930" s="40"/>
      <c r="CL930" s="5"/>
      <c r="CN930" s="40"/>
      <c r="CO930" s="5"/>
      <c r="CQ930" s="40"/>
      <c r="CR930" s="5"/>
    </row>
    <row r="931">
      <c r="AL931" s="40"/>
      <c r="AM931" s="5"/>
      <c r="AO931" s="40"/>
      <c r="AP931" s="5"/>
      <c r="AR931" s="40"/>
      <c r="AS931" s="5"/>
      <c r="AU931" s="40"/>
      <c r="AV931" s="5"/>
      <c r="AX931" s="40"/>
      <c r="AY931" s="5"/>
      <c r="BA931" s="40"/>
      <c r="BB931" s="5"/>
      <c r="BD931" s="40"/>
      <c r="BE931" s="5"/>
      <c r="BG931" s="40"/>
      <c r="BH931" s="5"/>
      <c r="BJ931" s="40"/>
      <c r="BK931" s="5"/>
      <c r="BM931" s="40"/>
      <c r="BN931" s="5"/>
      <c r="BP931" s="40"/>
      <c r="BQ931" s="5"/>
      <c r="BS931" s="40"/>
      <c r="BT931" s="5"/>
      <c r="BV931" s="40"/>
      <c r="BW931" s="5"/>
      <c r="BY931" s="40"/>
      <c r="BZ931" s="5"/>
      <c r="CB931" s="40"/>
      <c r="CC931" s="5"/>
      <c r="CE931" s="40"/>
      <c r="CF931" s="5"/>
      <c r="CH931" s="40"/>
      <c r="CI931" s="5"/>
      <c r="CK931" s="40"/>
      <c r="CL931" s="5"/>
      <c r="CN931" s="40"/>
      <c r="CO931" s="5"/>
      <c r="CQ931" s="40"/>
      <c r="CR931" s="5"/>
    </row>
    <row r="932">
      <c r="AL932" s="40"/>
      <c r="AM932" s="5"/>
      <c r="AO932" s="40"/>
      <c r="AP932" s="5"/>
      <c r="AR932" s="40"/>
      <c r="AS932" s="5"/>
      <c r="AU932" s="40"/>
      <c r="AV932" s="5"/>
      <c r="AX932" s="40"/>
      <c r="AY932" s="5"/>
      <c r="BA932" s="40"/>
      <c r="BB932" s="5"/>
      <c r="BD932" s="40"/>
      <c r="BE932" s="5"/>
      <c r="BG932" s="40"/>
      <c r="BH932" s="5"/>
      <c r="BJ932" s="40"/>
      <c r="BK932" s="5"/>
      <c r="BM932" s="40"/>
      <c r="BN932" s="5"/>
      <c r="BP932" s="40"/>
      <c r="BQ932" s="5"/>
      <c r="BS932" s="40"/>
      <c r="BT932" s="5"/>
      <c r="BV932" s="40"/>
      <c r="BW932" s="5"/>
      <c r="BY932" s="40"/>
      <c r="BZ932" s="5"/>
      <c r="CB932" s="40"/>
      <c r="CC932" s="5"/>
      <c r="CE932" s="40"/>
      <c r="CF932" s="5"/>
      <c r="CH932" s="40"/>
      <c r="CI932" s="5"/>
      <c r="CK932" s="40"/>
      <c r="CL932" s="5"/>
      <c r="CN932" s="40"/>
      <c r="CO932" s="5"/>
      <c r="CQ932" s="40"/>
      <c r="CR932" s="5"/>
    </row>
    <row r="933">
      <c r="AL933" s="40"/>
      <c r="AM933" s="5"/>
      <c r="AO933" s="40"/>
      <c r="AP933" s="5"/>
      <c r="AR933" s="40"/>
      <c r="AS933" s="5"/>
      <c r="AU933" s="40"/>
      <c r="AV933" s="5"/>
      <c r="AX933" s="40"/>
      <c r="AY933" s="5"/>
      <c r="BA933" s="40"/>
      <c r="BB933" s="5"/>
      <c r="BD933" s="40"/>
      <c r="BE933" s="5"/>
      <c r="BG933" s="40"/>
      <c r="BH933" s="5"/>
      <c r="BJ933" s="40"/>
      <c r="BK933" s="5"/>
      <c r="BM933" s="40"/>
      <c r="BN933" s="5"/>
      <c r="BP933" s="40"/>
      <c r="BQ933" s="5"/>
      <c r="BS933" s="40"/>
      <c r="BT933" s="5"/>
      <c r="BV933" s="40"/>
      <c r="BW933" s="5"/>
      <c r="BY933" s="40"/>
      <c r="BZ933" s="5"/>
      <c r="CB933" s="40"/>
      <c r="CC933" s="5"/>
      <c r="CE933" s="40"/>
      <c r="CF933" s="5"/>
      <c r="CH933" s="40"/>
      <c r="CI933" s="5"/>
      <c r="CK933" s="40"/>
      <c r="CL933" s="5"/>
      <c r="CN933" s="40"/>
      <c r="CO933" s="5"/>
      <c r="CQ933" s="40"/>
      <c r="CR933" s="5"/>
    </row>
    <row r="934">
      <c r="AL934" s="40"/>
      <c r="AM934" s="5"/>
      <c r="AO934" s="40"/>
      <c r="AP934" s="5"/>
      <c r="AR934" s="40"/>
      <c r="AS934" s="5"/>
      <c r="AU934" s="40"/>
      <c r="AV934" s="5"/>
      <c r="AX934" s="40"/>
      <c r="AY934" s="5"/>
      <c r="BA934" s="40"/>
      <c r="BB934" s="5"/>
      <c r="BD934" s="40"/>
      <c r="BE934" s="5"/>
      <c r="BG934" s="40"/>
      <c r="BH934" s="5"/>
      <c r="BJ934" s="40"/>
      <c r="BK934" s="5"/>
      <c r="BM934" s="40"/>
      <c r="BN934" s="5"/>
      <c r="BP934" s="40"/>
      <c r="BQ934" s="5"/>
      <c r="BS934" s="40"/>
      <c r="BT934" s="5"/>
      <c r="BV934" s="40"/>
      <c r="BW934" s="5"/>
      <c r="BY934" s="40"/>
      <c r="BZ934" s="5"/>
      <c r="CB934" s="40"/>
      <c r="CC934" s="5"/>
      <c r="CE934" s="40"/>
      <c r="CF934" s="5"/>
      <c r="CH934" s="40"/>
      <c r="CI934" s="5"/>
      <c r="CK934" s="40"/>
      <c r="CL934" s="5"/>
      <c r="CN934" s="40"/>
      <c r="CO934" s="5"/>
      <c r="CQ934" s="40"/>
      <c r="CR934" s="5"/>
    </row>
    <row r="935">
      <c r="AL935" s="40"/>
      <c r="AM935" s="5"/>
      <c r="AO935" s="40"/>
      <c r="AP935" s="5"/>
      <c r="AR935" s="40"/>
      <c r="AS935" s="5"/>
      <c r="AU935" s="40"/>
      <c r="AV935" s="5"/>
      <c r="AX935" s="40"/>
      <c r="AY935" s="5"/>
      <c r="BA935" s="40"/>
      <c r="BB935" s="5"/>
      <c r="BD935" s="40"/>
      <c r="BE935" s="5"/>
      <c r="BG935" s="40"/>
      <c r="BH935" s="5"/>
      <c r="BJ935" s="40"/>
      <c r="BK935" s="5"/>
      <c r="BM935" s="40"/>
      <c r="BN935" s="5"/>
      <c r="BP935" s="40"/>
      <c r="BQ935" s="5"/>
      <c r="BS935" s="40"/>
      <c r="BT935" s="5"/>
      <c r="BV935" s="40"/>
      <c r="BW935" s="5"/>
      <c r="BY935" s="40"/>
      <c r="BZ935" s="5"/>
      <c r="CB935" s="40"/>
      <c r="CC935" s="5"/>
      <c r="CE935" s="40"/>
      <c r="CF935" s="5"/>
      <c r="CH935" s="40"/>
      <c r="CI935" s="5"/>
      <c r="CK935" s="40"/>
      <c r="CL935" s="5"/>
      <c r="CN935" s="40"/>
      <c r="CO935" s="5"/>
      <c r="CQ935" s="40"/>
      <c r="CR935" s="5"/>
    </row>
    <row r="936">
      <c r="AL936" s="40"/>
      <c r="AM936" s="5"/>
      <c r="AO936" s="40"/>
      <c r="AP936" s="5"/>
      <c r="AR936" s="40"/>
      <c r="AS936" s="5"/>
      <c r="AU936" s="40"/>
      <c r="AV936" s="5"/>
      <c r="AX936" s="40"/>
      <c r="AY936" s="5"/>
      <c r="BA936" s="40"/>
      <c r="BB936" s="5"/>
      <c r="BD936" s="40"/>
      <c r="BE936" s="5"/>
      <c r="BG936" s="40"/>
      <c r="BH936" s="5"/>
      <c r="BJ936" s="40"/>
      <c r="BK936" s="5"/>
      <c r="BM936" s="40"/>
      <c r="BN936" s="5"/>
      <c r="BP936" s="40"/>
      <c r="BQ936" s="5"/>
      <c r="BS936" s="40"/>
      <c r="BT936" s="5"/>
      <c r="BV936" s="40"/>
      <c r="BW936" s="5"/>
      <c r="BY936" s="40"/>
      <c r="BZ936" s="5"/>
      <c r="CB936" s="40"/>
      <c r="CC936" s="5"/>
      <c r="CE936" s="40"/>
      <c r="CF936" s="5"/>
      <c r="CH936" s="40"/>
      <c r="CI936" s="5"/>
      <c r="CK936" s="40"/>
      <c r="CL936" s="5"/>
      <c r="CN936" s="40"/>
      <c r="CO936" s="5"/>
      <c r="CQ936" s="40"/>
      <c r="CR936" s="5"/>
    </row>
    <row r="937">
      <c r="AL937" s="40"/>
      <c r="AM937" s="5"/>
      <c r="AO937" s="40"/>
      <c r="AP937" s="5"/>
      <c r="AR937" s="40"/>
      <c r="AS937" s="5"/>
      <c r="AU937" s="40"/>
      <c r="AV937" s="5"/>
      <c r="AX937" s="40"/>
      <c r="AY937" s="5"/>
      <c r="BA937" s="40"/>
      <c r="BB937" s="5"/>
      <c r="BD937" s="40"/>
      <c r="BE937" s="5"/>
      <c r="BG937" s="40"/>
      <c r="BH937" s="5"/>
      <c r="BJ937" s="40"/>
      <c r="BK937" s="5"/>
      <c r="BM937" s="40"/>
      <c r="BN937" s="5"/>
      <c r="BP937" s="40"/>
      <c r="BQ937" s="5"/>
      <c r="BS937" s="40"/>
      <c r="BT937" s="5"/>
      <c r="BV937" s="40"/>
      <c r="BW937" s="5"/>
      <c r="BY937" s="40"/>
      <c r="BZ937" s="5"/>
      <c r="CB937" s="40"/>
      <c r="CC937" s="5"/>
      <c r="CE937" s="40"/>
      <c r="CF937" s="5"/>
      <c r="CH937" s="40"/>
      <c r="CI937" s="5"/>
      <c r="CK937" s="40"/>
      <c r="CL937" s="5"/>
      <c r="CN937" s="40"/>
      <c r="CO937" s="5"/>
      <c r="CQ937" s="40"/>
      <c r="CR937" s="5"/>
    </row>
    <row r="938">
      <c r="AL938" s="40"/>
      <c r="AM938" s="5"/>
      <c r="AO938" s="40"/>
      <c r="AP938" s="5"/>
      <c r="AR938" s="40"/>
      <c r="AS938" s="5"/>
      <c r="AU938" s="40"/>
      <c r="AV938" s="5"/>
      <c r="AX938" s="40"/>
      <c r="AY938" s="5"/>
      <c r="BA938" s="40"/>
      <c r="BB938" s="5"/>
      <c r="BD938" s="40"/>
      <c r="BE938" s="5"/>
      <c r="BG938" s="40"/>
      <c r="BH938" s="5"/>
      <c r="BJ938" s="40"/>
      <c r="BK938" s="5"/>
      <c r="BM938" s="40"/>
      <c r="BN938" s="5"/>
      <c r="BP938" s="40"/>
      <c r="BQ938" s="5"/>
      <c r="BS938" s="40"/>
      <c r="BT938" s="5"/>
      <c r="BV938" s="40"/>
      <c r="BW938" s="5"/>
      <c r="BY938" s="40"/>
      <c r="BZ938" s="5"/>
      <c r="CB938" s="40"/>
      <c r="CC938" s="5"/>
      <c r="CE938" s="40"/>
      <c r="CF938" s="5"/>
      <c r="CH938" s="40"/>
      <c r="CI938" s="5"/>
      <c r="CK938" s="40"/>
      <c r="CL938" s="5"/>
      <c r="CN938" s="40"/>
      <c r="CO938" s="5"/>
      <c r="CQ938" s="40"/>
      <c r="CR938" s="5"/>
    </row>
    <row r="939">
      <c r="AL939" s="40"/>
      <c r="AM939" s="5"/>
      <c r="AO939" s="40"/>
      <c r="AP939" s="5"/>
      <c r="AR939" s="40"/>
      <c r="AS939" s="5"/>
      <c r="AU939" s="40"/>
      <c r="AV939" s="5"/>
      <c r="AX939" s="40"/>
      <c r="AY939" s="5"/>
      <c r="BA939" s="40"/>
      <c r="BB939" s="5"/>
      <c r="BD939" s="40"/>
      <c r="BE939" s="5"/>
      <c r="BG939" s="40"/>
      <c r="BH939" s="5"/>
      <c r="BJ939" s="40"/>
      <c r="BK939" s="5"/>
      <c r="BM939" s="40"/>
      <c r="BN939" s="5"/>
      <c r="BP939" s="40"/>
      <c r="BQ939" s="5"/>
      <c r="BS939" s="40"/>
      <c r="BT939" s="5"/>
      <c r="BV939" s="40"/>
      <c r="BW939" s="5"/>
      <c r="BY939" s="40"/>
      <c r="BZ939" s="5"/>
      <c r="CB939" s="40"/>
      <c r="CC939" s="5"/>
      <c r="CE939" s="40"/>
      <c r="CF939" s="5"/>
      <c r="CH939" s="40"/>
      <c r="CI939" s="5"/>
      <c r="CK939" s="40"/>
      <c r="CL939" s="5"/>
      <c r="CN939" s="40"/>
      <c r="CO939" s="5"/>
      <c r="CQ939" s="40"/>
      <c r="CR939" s="5"/>
    </row>
    <row r="940">
      <c r="AL940" s="40"/>
      <c r="AM940" s="5"/>
      <c r="AO940" s="40"/>
      <c r="AP940" s="5"/>
      <c r="AR940" s="40"/>
      <c r="AS940" s="5"/>
      <c r="AU940" s="40"/>
      <c r="AV940" s="5"/>
      <c r="AX940" s="40"/>
      <c r="AY940" s="5"/>
      <c r="BA940" s="40"/>
      <c r="BB940" s="5"/>
      <c r="BD940" s="40"/>
      <c r="BE940" s="5"/>
      <c r="BG940" s="40"/>
      <c r="BH940" s="5"/>
      <c r="BJ940" s="40"/>
      <c r="BK940" s="5"/>
      <c r="BM940" s="40"/>
      <c r="BN940" s="5"/>
      <c r="BP940" s="40"/>
      <c r="BQ940" s="5"/>
      <c r="BS940" s="40"/>
      <c r="BT940" s="5"/>
      <c r="BV940" s="40"/>
      <c r="BW940" s="5"/>
      <c r="BY940" s="40"/>
      <c r="BZ940" s="5"/>
      <c r="CB940" s="40"/>
      <c r="CC940" s="5"/>
      <c r="CE940" s="40"/>
      <c r="CF940" s="5"/>
      <c r="CH940" s="40"/>
      <c r="CI940" s="5"/>
      <c r="CK940" s="40"/>
      <c r="CL940" s="5"/>
      <c r="CN940" s="40"/>
      <c r="CO940" s="5"/>
      <c r="CQ940" s="40"/>
      <c r="CR940" s="5"/>
    </row>
    <row r="941">
      <c r="AL941" s="40"/>
      <c r="AM941" s="5"/>
      <c r="AO941" s="40"/>
      <c r="AP941" s="5"/>
      <c r="AR941" s="40"/>
      <c r="AS941" s="5"/>
      <c r="AU941" s="40"/>
      <c r="AV941" s="5"/>
      <c r="AX941" s="40"/>
      <c r="AY941" s="5"/>
      <c r="BA941" s="40"/>
      <c r="BB941" s="5"/>
      <c r="BD941" s="40"/>
      <c r="BE941" s="5"/>
      <c r="BG941" s="40"/>
      <c r="BH941" s="5"/>
      <c r="BJ941" s="40"/>
      <c r="BK941" s="5"/>
      <c r="BM941" s="40"/>
      <c r="BN941" s="5"/>
      <c r="BP941" s="40"/>
      <c r="BQ941" s="5"/>
      <c r="BS941" s="40"/>
      <c r="BT941" s="5"/>
      <c r="BV941" s="40"/>
      <c r="BW941" s="5"/>
      <c r="BY941" s="40"/>
      <c r="BZ941" s="5"/>
      <c r="CB941" s="40"/>
      <c r="CC941" s="5"/>
      <c r="CE941" s="40"/>
      <c r="CF941" s="5"/>
      <c r="CH941" s="40"/>
      <c r="CI941" s="5"/>
      <c r="CK941" s="40"/>
      <c r="CL941" s="5"/>
      <c r="CN941" s="40"/>
      <c r="CO941" s="5"/>
      <c r="CQ941" s="40"/>
      <c r="CR941" s="5"/>
    </row>
    <row r="942">
      <c r="AL942" s="40"/>
      <c r="AM942" s="5"/>
      <c r="AO942" s="40"/>
      <c r="AP942" s="5"/>
      <c r="AR942" s="40"/>
      <c r="AS942" s="5"/>
      <c r="AU942" s="40"/>
      <c r="AV942" s="5"/>
      <c r="AX942" s="40"/>
      <c r="AY942" s="5"/>
      <c r="BA942" s="40"/>
      <c r="BB942" s="5"/>
      <c r="BD942" s="40"/>
      <c r="BE942" s="5"/>
      <c r="BG942" s="40"/>
      <c r="BH942" s="5"/>
      <c r="BJ942" s="40"/>
      <c r="BK942" s="5"/>
      <c r="BM942" s="40"/>
      <c r="BN942" s="5"/>
      <c r="BP942" s="40"/>
      <c r="BQ942" s="5"/>
      <c r="BS942" s="40"/>
      <c r="BT942" s="5"/>
      <c r="BV942" s="40"/>
      <c r="BW942" s="5"/>
      <c r="BY942" s="40"/>
      <c r="BZ942" s="5"/>
      <c r="CB942" s="40"/>
      <c r="CC942" s="5"/>
      <c r="CE942" s="40"/>
      <c r="CF942" s="5"/>
      <c r="CH942" s="40"/>
      <c r="CI942" s="5"/>
      <c r="CK942" s="40"/>
      <c r="CL942" s="5"/>
      <c r="CN942" s="40"/>
      <c r="CO942" s="5"/>
      <c r="CQ942" s="40"/>
      <c r="CR942" s="5"/>
    </row>
    <row r="943">
      <c r="AL943" s="40"/>
      <c r="AM943" s="5"/>
      <c r="AO943" s="40"/>
      <c r="AP943" s="5"/>
      <c r="AR943" s="40"/>
      <c r="AS943" s="5"/>
      <c r="AU943" s="40"/>
      <c r="AV943" s="5"/>
      <c r="AX943" s="40"/>
      <c r="AY943" s="5"/>
      <c r="BA943" s="40"/>
      <c r="BB943" s="5"/>
      <c r="BD943" s="40"/>
      <c r="BE943" s="5"/>
      <c r="BG943" s="40"/>
      <c r="BH943" s="5"/>
      <c r="BJ943" s="40"/>
      <c r="BK943" s="5"/>
      <c r="BM943" s="40"/>
      <c r="BN943" s="5"/>
      <c r="BP943" s="40"/>
      <c r="BQ943" s="5"/>
      <c r="BS943" s="40"/>
      <c r="BT943" s="5"/>
      <c r="BV943" s="40"/>
      <c r="BW943" s="5"/>
      <c r="BY943" s="40"/>
      <c r="BZ943" s="5"/>
      <c r="CB943" s="40"/>
      <c r="CC943" s="5"/>
      <c r="CE943" s="40"/>
      <c r="CF943" s="5"/>
      <c r="CH943" s="40"/>
      <c r="CI943" s="5"/>
      <c r="CK943" s="40"/>
      <c r="CL943" s="5"/>
      <c r="CN943" s="40"/>
      <c r="CO943" s="5"/>
      <c r="CQ943" s="40"/>
      <c r="CR943" s="5"/>
    </row>
    <row r="944">
      <c r="AL944" s="40"/>
      <c r="AM944" s="5"/>
      <c r="AO944" s="40"/>
      <c r="AP944" s="5"/>
      <c r="AR944" s="40"/>
      <c r="AS944" s="5"/>
      <c r="AU944" s="40"/>
      <c r="AV944" s="5"/>
      <c r="AX944" s="40"/>
      <c r="AY944" s="5"/>
      <c r="BA944" s="40"/>
      <c r="BB944" s="5"/>
      <c r="BD944" s="40"/>
      <c r="BE944" s="5"/>
      <c r="BG944" s="40"/>
      <c r="BH944" s="5"/>
      <c r="BJ944" s="40"/>
      <c r="BK944" s="5"/>
      <c r="BM944" s="40"/>
      <c r="BN944" s="5"/>
      <c r="BP944" s="40"/>
      <c r="BQ944" s="5"/>
      <c r="BS944" s="40"/>
      <c r="BT944" s="5"/>
      <c r="BV944" s="40"/>
      <c r="BW944" s="5"/>
      <c r="BY944" s="40"/>
      <c r="BZ944" s="5"/>
      <c r="CB944" s="40"/>
      <c r="CC944" s="5"/>
      <c r="CE944" s="40"/>
      <c r="CF944" s="5"/>
      <c r="CH944" s="40"/>
      <c r="CI944" s="5"/>
      <c r="CK944" s="40"/>
      <c r="CL944" s="5"/>
      <c r="CN944" s="40"/>
      <c r="CO944" s="5"/>
      <c r="CQ944" s="40"/>
      <c r="CR944" s="5"/>
    </row>
    <row r="945">
      <c r="AL945" s="40"/>
      <c r="AM945" s="5"/>
      <c r="AO945" s="40"/>
      <c r="AP945" s="5"/>
      <c r="AR945" s="40"/>
      <c r="AS945" s="5"/>
      <c r="AU945" s="40"/>
      <c r="AV945" s="5"/>
      <c r="AX945" s="40"/>
      <c r="AY945" s="5"/>
      <c r="BA945" s="40"/>
      <c r="BB945" s="5"/>
      <c r="BD945" s="40"/>
      <c r="BE945" s="5"/>
      <c r="BG945" s="40"/>
      <c r="BH945" s="5"/>
      <c r="BJ945" s="40"/>
      <c r="BK945" s="5"/>
      <c r="BM945" s="40"/>
      <c r="BN945" s="5"/>
      <c r="BP945" s="40"/>
      <c r="BQ945" s="5"/>
      <c r="BS945" s="40"/>
      <c r="BT945" s="5"/>
      <c r="BV945" s="40"/>
      <c r="BW945" s="5"/>
      <c r="BY945" s="40"/>
      <c r="BZ945" s="5"/>
      <c r="CB945" s="40"/>
      <c r="CC945" s="5"/>
      <c r="CE945" s="40"/>
      <c r="CF945" s="5"/>
      <c r="CH945" s="40"/>
      <c r="CI945" s="5"/>
      <c r="CK945" s="40"/>
      <c r="CL945" s="5"/>
      <c r="CN945" s="40"/>
      <c r="CO945" s="5"/>
      <c r="CQ945" s="40"/>
      <c r="CR945"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hyperlinks>
    <hyperlink r:id="rId1" ref="B18"/>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44">
        <v>0.0</v>
      </c>
      <c r="B2" s="44">
        <v>1.595775015E9</v>
      </c>
      <c r="C2" s="40">
        <f>IFERROR(__xludf.DUMMYFUNCTION("INDEX(SPLIT(B2, char(10)), 0, 1)/86400+date(1970,1,1)"),44038.61822916666)</f>
        <v>44038.61823</v>
      </c>
      <c r="D2" s="44" t="s">
        <v>136</v>
      </c>
      <c r="E2" s="44" t="s">
        <v>690</v>
      </c>
      <c r="F2" s="44" t="s">
        <v>691</v>
      </c>
    </row>
    <row r="3">
      <c r="A3" s="44">
        <v>1.0</v>
      </c>
      <c r="B3" s="44">
        <v>1.595775337E9</v>
      </c>
      <c r="C3" s="40">
        <f>IFERROR(__xludf.DUMMYFUNCTION("INDEX(SPLIT(B3, char(10)), 0, 1)/86400+date(1970,1,1)"),44038.62195601852)</f>
        <v>44038.62196</v>
      </c>
      <c r="D3" s="44" t="s">
        <v>81</v>
      </c>
      <c r="E3" s="44" t="s">
        <v>692</v>
      </c>
      <c r="F3" s="44" t="s">
        <v>693</v>
      </c>
    </row>
    <row r="4">
      <c r="A4" s="44">
        <v>1.0</v>
      </c>
      <c r="B4" s="44">
        <v>1.59577535E9</v>
      </c>
      <c r="C4" s="40">
        <f>IFERROR(__xludf.DUMMYFUNCTION("INDEX(SPLIT(B4, char(10)), 0, 1)/86400+date(1970,1,1)"),44038.62210648148)</f>
        <v>44038.62211</v>
      </c>
      <c r="D4" s="44" t="s">
        <v>96</v>
      </c>
      <c r="E4" s="44" t="s">
        <v>694</v>
      </c>
      <c r="F4" s="44" t="s">
        <v>695</v>
      </c>
    </row>
    <row r="5">
      <c r="A5" s="44">
        <v>2.0</v>
      </c>
      <c r="B5" s="44">
        <v>1.595775474E9</v>
      </c>
      <c r="C5" s="40">
        <f>IFERROR(__xludf.DUMMYFUNCTION("INDEX(SPLIT(B5, char(10)), 0, 1)/86400+date(1970,1,1)"),44038.62354166667)</f>
        <v>44038.62354</v>
      </c>
      <c r="D5" s="44" t="s">
        <v>81</v>
      </c>
      <c r="E5" s="44" t="s">
        <v>82</v>
      </c>
      <c r="F5" s="44" t="s">
        <v>696</v>
      </c>
    </row>
    <row r="6">
      <c r="A6" s="44">
        <v>3.0</v>
      </c>
      <c r="B6" s="44">
        <v>1.595775781E9</v>
      </c>
      <c r="C6" s="40">
        <f>IFERROR(__xludf.DUMMYFUNCTION("INDEX(SPLIT(B6, char(10)), 0, 1)/86400+date(1970,1,1)"),44038.62709490741)</f>
        <v>44038.62709</v>
      </c>
      <c r="D6" s="44" t="s">
        <v>124</v>
      </c>
      <c r="E6" s="44" t="s">
        <v>392</v>
      </c>
      <c r="F6" s="44" t="s">
        <v>697</v>
      </c>
    </row>
    <row r="7">
      <c r="A7" s="44">
        <v>4.0</v>
      </c>
      <c r="B7" s="44">
        <v>1.595776098E9</v>
      </c>
      <c r="C7" s="40">
        <f>IFERROR(__xludf.DUMMYFUNCTION("INDEX(SPLIT(B7, char(10)), 0, 1)/86400+date(1970,1,1)"),44038.63076388889)</f>
        <v>44038.63076</v>
      </c>
      <c r="D7" s="44" t="s">
        <v>103</v>
      </c>
      <c r="E7" s="44" t="s">
        <v>698</v>
      </c>
      <c r="F7" s="44" t="s">
        <v>699</v>
      </c>
    </row>
    <row r="8">
      <c r="A8" s="44">
        <v>4.0</v>
      </c>
      <c r="B8" s="44">
        <v>1.595776178E9</v>
      </c>
      <c r="C8" s="40">
        <f>IFERROR(__xludf.DUMMYFUNCTION("INDEX(SPLIT(B8, char(10)), 0, 1)/86400+date(1970,1,1)"),44038.631689814814)</f>
        <v>44038.63169</v>
      </c>
      <c r="D8" s="44" t="s">
        <v>128</v>
      </c>
      <c r="E8" s="44" t="s">
        <v>700</v>
      </c>
      <c r="F8" s="44" t="s">
        <v>701</v>
      </c>
    </row>
    <row r="9">
      <c r="A9" s="44">
        <v>4.0</v>
      </c>
      <c r="B9" s="44">
        <v>1.595776187E9</v>
      </c>
      <c r="C9" s="40">
        <f>IFERROR(__xludf.DUMMYFUNCTION("INDEX(SPLIT(B9, char(10)), 0, 1)/86400+date(1970,1,1)"),44038.631793981476)</f>
        <v>44038.63179</v>
      </c>
      <c r="D9" s="44" t="s">
        <v>124</v>
      </c>
      <c r="E9" s="44" t="s">
        <v>702</v>
      </c>
      <c r="F9" s="44" t="s">
        <v>703</v>
      </c>
    </row>
    <row r="10">
      <c r="A10" s="44">
        <v>5.0</v>
      </c>
      <c r="B10" s="44">
        <v>1.595776232E9</v>
      </c>
      <c r="C10" s="40">
        <f>IFERROR(__xludf.DUMMYFUNCTION("INDEX(SPLIT(B10, char(10)), 0, 1)/86400+date(1970,1,1)"),44038.632314814815)</f>
        <v>44038.63231</v>
      </c>
      <c r="D10" s="44" t="s">
        <v>96</v>
      </c>
      <c r="E10" s="44" t="s">
        <v>704</v>
      </c>
      <c r="F10" s="44" t="s">
        <v>705</v>
      </c>
    </row>
    <row r="11">
      <c r="A11" s="44">
        <v>5.0</v>
      </c>
      <c r="B11" s="44">
        <v>1.595776317E9</v>
      </c>
      <c r="C11" s="40">
        <f>IFERROR(__xludf.DUMMYFUNCTION("INDEX(SPLIT(B11, char(10)), 0, 1)/86400+date(1970,1,1)"),44038.63329861111)</f>
        <v>44038.6333</v>
      </c>
      <c r="D11" s="44" t="s">
        <v>103</v>
      </c>
      <c r="E11" s="44" t="s">
        <v>706</v>
      </c>
      <c r="F11" s="44" t="s">
        <v>707</v>
      </c>
    </row>
    <row r="12">
      <c r="A12" s="44">
        <v>6.0</v>
      </c>
      <c r="B12" s="44">
        <v>1.595776508E9</v>
      </c>
      <c r="C12" s="40">
        <f>IFERROR(__xludf.DUMMYFUNCTION("INDEX(SPLIT(B12, char(10)), 0, 1)/86400+date(1970,1,1)"),44038.63550925926)</f>
        <v>44038.63551</v>
      </c>
      <c r="D12" s="44" t="s">
        <v>103</v>
      </c>
      <c r="E12" s="44" t="s">
        <v>708</v>
      </c>
      <c r="F12" s="44" t="s">
        <v>709</v>
      </c>
    </row>
    <row r="13">
      <c r="A13" s="44">
        <v>6.0</v>
      </c>
      <c r="B13" s="44">
        <v>1.595776509E9</v>
      </c>
      <c r="C13" s="40">
        <f>IFERROR(__xludf.DUMMYFUNCTION("INDEX(SPLIT(B13, char(10)), 0, 1)/86400+date(1970,1,1)"),44038.63552083333)</f>
        <v>44038.63552</v>
      </c>
      <c r="D13" s="44" t="s">
        <v>131</v>
      </c>
      <c r="E13" s="44" t="s">
        <v>708</v>
      </c>
      <c r="F13" s="44" t="s">
        <v>710</v>
      </c>
    </row>
    <row r="14">
      <c r="A14" s="44">
        <v>6.0</v>
      </c>
      <c r="B14" s="44">
        <v>1.595776564E9</v>
      </c>
      <c r="C14" s="40">
        <f>IFERROR(__xludf.DUMMYFUNCTION("INDEX(SPLIT(B14, char(10)), 0, 1)/86400+date(1970,1,1)"),44038.63615740741)</f>
        <v>44038.63616</v>
      </c>
      <c r="D14" s="44" t="s">
        <v>93</v>
      </c>
      <c r="E14" s="44" t="s">
        <v>711</v>
      </c>
      <c r="F14" s="44" t="s">
        <v>712</v>
      </c>
    </row>
    <row r="15">
      <c r="A15" s="44">
        <v>7.0</v>
      </c>
      <c r="B15" s="44">
        <v>1.595776883E9</v>
      </c>
      <c r="C15" s="40">
        <f>IFERROR(__xludf.DUMMYFUNCTION("INDEX(SPLIT(B15, char(10)), 0, 1)/86400+date(1970,1,1)"),44038.63984953704)</f>
        <v>44038.63985</v>
      </c>
      <c r="D15" s="44" t="s">
        <v>81</v>
      </c>
      <c r="E15" s="44" t="s">
        <v>704</v>
      </c>
      <c r="F15" s="44" t="s">
        <v>713</v>
      </c>
    </row>
    <row r="16">
      <c r="A16" s="44">
        <v>7.0</v>
      </c>
      <c r="B16" s="44">
        <v>1.59577696E9</v>
      </c>
      <c r="C16" s="40">
        <f>IFERROR(__xludf.DUMMYFUNCTION("INDEX(SPLIT(B16, char(10)), 0, 1)/86400+date(1970,1,1)"),44038.64074074074)</f>
        <v>44038.64074</v>
      </c>
      <c r="D16" s="44" t="s">
        <v>103</v>
      </c>
      <c r="E16" s="44" t="s">
        <v>714</v>
      </c>
      <c r="F16" s="44" t="s">
        <v>715</v>
      </c>
    </row>
    <row r="17">
      <c r="A17" s="44">
        <v>8.0</v>
      </c>
      <c r="B17" s="44">
        <v>1.595777136E9</v>
      </c>
      <c r="C17" s="40">
        <f>IFERROR(__xludf.DUMMYFUNCTION("INDEX(SPLIT(B17, char(10)), 0, 1)/86400+date(1970,1,1)"),44038.64277777778)</f>
        <v>44038.64278</v>
      </c>
      <c r="D17" s="44" t="s">
        <v>96</v>
      </c>
      <c r="E17" s="44" t="s">
        <v>716</v>
      </c>
      <c r="F17" s="44" t="s">
        <v>717</v>
      </c>
    </row>
    <row r="18">
      <c r="A18" s="44">
        <v>8.0</v>
      </c>
      <c r="B18" s="44">
        <v>1.59577714E9</v>
      </c>
      <c r="C18" s="40">
        <f>IFERROR(__xludf.DUMMYFUNCTION("INDEX(SPLIT(B18, char(10)), 0, 1)/86400+date(1970,1,1)"),44038.64282407408)</f>
        <v>44038.64282</v>
      </c>
      <c r="D18" s="44" t="s">
        <v>93</v>
      </c>
      <c r="E18" s="44" t="s">
        <v>718</v>
      </c>
      <c r="F18" s="44" t="s">
        <v>719</v>
      </c>
    </row>
    <row r="19">
      <c r="A19" s="44">
        <v>8.0</v>
      </c>
      <c r="B19" s="44">
        <v>1.59577716E9</v>
      </c>
      <c r="C19" s="40">
        <f>IFERROR(__xludf.DUMMYFUNCTION("INDEX(SPLIT(B19, char(10)), 0, 1)/86400+date(1970,1,1)"),44038.643055555556)</f>
        <v>44038.64306</v>
      </c>
      <c r="D19" s="44" t="s">
        <v>90</v>
      </c>
      <c r="E19" s="44" t="s">
        <v>716</v>
      </c>
      <c r="F19" s="44" t="s">
        <v>720</v>
      </c>
    </row>
    <row r="20">
      <c r="A20" s="44">
        <v>8.0</v>
      </c>
      <c r="B20" s="44">
        <v>1.595777166E9</v>
      </c>
      <c r="C20" s="40">
        <f>IFERROR(__xludf.DUMMYFUNCTION("INDEX(SPLIT(B20, char(10)), 0, 1)/86400+date(1970,1,1)"),44038.643125)</f>
        <v>44038.64313</v>
      </c>
      <c r="D20" s="44" t="s">
        <v>174</v>
      </c>
      <c r="E20" s="44" t="s">
        <v>716</v>
      </c>
      <c r="F20" s="44" t="s">
        <v>721</v>
      </c>
    </row>
    <row r="21">
      <c r="A21" s="44">
        <v>8.0</v>
      </c>
      <c r="B21" s="44">
        <v>1.595777184E9</v>
      </c>
      <c r="C21" s="40">
        <f>IFERROR(__xludf.DUMMYFUNCTION("INDEX(SPLIT(B21, char(10)), 0, 1)/86400+date(1970,1,1)"),44038.64333333333)</f>
        <v>44038.64333</v>
      </c>
      <c r="D21" s="44" t="s">
        <v>81</v>
      </c>
      <c r="E21" s="44" t="s">
        <v>722</v>
      </c>
      <c r="F21" s="44" t="s">
        <v>723</v>
      </c>
    </row>
    <row r="22">
      <c r="A22" s="44">
        <v>9.0</v>
      </c>
      <c r="B22" s="44">
        <v>1.595777326E9</v>
      </c>
      <c r="C22" s="40">
        <f>IFERROR(__xludf.DUMMYFUNCTION("INDEX(SPLIT(B22, char(10)), 0, 1)/86400+date(1970,1,1)"),44038.64497685185)</f>
        <v>44038.64498</v>
      </c>
      <c r="D22" s="44" t="s">
        <v>103</v>
      </c>
      <c r="E22" s="44" t="s">
        <v>706</v>
      </c>
      <c r="F22" s="44" t="s">
        <v>724</v>
      </c>
    </row>
    <row r="23">
      <c r="A23" s="44">
        <v>9.0</v>
      </c>
      <c r="B23" s="44">
        <v>1.595777373E9</v>
      </c>
      <c r="C23" s="40">
        <f>IFERROR(__xludf.DUMMYFUNCTION("INDEX(SPLIT(B23, char(10)), 0, 1)/86400+date(1970,1,1)"),44038.645520833335)</f>
        <v>44038.64552</v>
      </c>
      <c r="D23" s="44" t="s">
        <v>128</v>
      </c>
      <c r="E23" s="44" t="s">
        <v>704</v>
      </c>
      <c r="F23" s="44" t="s">
        <v>725</v>
      </c>
    </row>
    <row r="24">
      <c r="A24" s="44">
        <v>10.0</v>
      </c>
      <c r="B24" s="44">
        <v>1.595777485E9</v>
      </c>
      <c r="C24" s="40">
        <f>IFERROR(__xludf.DUMMYFUNCTION("INDEX(SPLIT(B24, char(10)), 0, 1)/86400+date(1970,1,1)"),44038.64681712963)</f>
        <v>44038.64682</v>
      </c>
      <c r="D24" s="44" t="s">
        <v>96</v>
      </c>
      <c r="E24" s="44" t="s">
        <v>160</v>
      </c>
      <c r="F24" s="44" t="s">
        <v>726</v>
      </c>
    </row>
    <row r="25">
      <c r="A25" s="44">
        <v>10.0</v>
      </c>
      <c r="B25" s="44">
        <v>1.595777529E9</v>
      </c>
      <c r="C25" s="40">
        <f>IFERROR(__xludf.DUMMYFUNCTION("INDEX(SPLIT(B25, char(10)), 0, 1)/86400+date(1970,1,1)"),44038.64732638889)</f>
        <v>44038.64733</v>
      </c>
      <c r="D25" s="44" t="s">
        <v>81</v>
      </c>
      <c r="E25" s="44" t="s">
        <v>727</v>
      </c>
      <c r="F25" s="44" t="s">
        <v>728</v>
      </c>
    </row>
    <row r="26">
      <c r="A26" s="44">
        <v>10.0</v>
      </c>
      <c r="B26" s="44">
        <v>1.595777569E9</v>
      </c>
      <c r="C26" s="40">
        <f>IFERROR(__xludf.DUMMYFUNCTION("INDEX(SPLIT(B26, char(10)), 0, 1)/86400+date(1970,1,1)"),44038.64778935185)</f>
        <v>44038.64779</v>
      </c>
      <c r="D26" s="44" t="s">
        <v>103</v>
      </c>
      <c r="E26" s="44" t="s">
        <v>729</v>
      </c>
      <c r="F26" s="44" t="s">
        <v>730</v>
      </c>
    </row>
    <row r="27">
      <c r="A27" s="44">
        <v>11.0</v>
      </c>
      <c r="B27" s="44">
        <v>1.595777696E9</v>
      </c>
      <c r="C27" s="40">
        <f>IFERROR(__xludf.DUMMYFUNCTION("INDEX(SPLIT(B27, char(10)), 0, 1)/86400+date(1970,1,1)"),44038.649259259255)</f>
        <v>44038.64926</v>
      </c>
      <c r="D27" s="44" t="s">
        <v>93</v>
      </c>
      <c r="E27" s="44" t="s">
        <v>731</v>
      </c>
      <c r="F27" s="44" t="s">
        <v>732</v>
      </c>
    </row>
    <row r="28">
      <c r="A28" s="44">
        <v>12.0</v>
      </c>
      <c r="B28" s="44">
        <v>1.595777787E9</v>
      </c>
      <c r="C28" s="40">
        <f>IFERROR(__xludf.DUMMYFUNCTION("INDEX(SPLIT(B28, char(10)), 0, 1)/86400+date(1970,1,1)"),44038.6503125)</f>
        <v>44038.65031</v>
      </c>
      <c r="D28" s="44" t="s">
        <v>93</v>
      </c>
      <c r="E28" s="44" t="s">
        <v>733</v>
      </c>
      <c r="F28" s="44" t="s">
        <v>734</v>
      </c>
    </row>
    <row r="29">
      <c r="A29" s="44">
        <v>12.0</v>
      </c>
      <c r="B29" s="44">
        <v>1.595777793E9</v>
      </c>
      <c r="C29" s="40">
        <f>IFERROR(__xludf.DUMMYFUNCTION("INDEX(SPLIT(B29, char(10)), 0, 1)/86400+date(1970,1,1)"),44038.65038194445)</f>
        <v>44038.65038</v>
      </c>
      <c r="D29" s="44" t="s">
        <v>96</v>
      </c>
      <c r="E29" s="44" t="s">
        <v>735</v>
      </c>
      <c r="F29" s="44" t="s">
        <v>736</v>
      </c>
    </row>
    <row r="30">
      <c r="A30" s="44">
        <v>13.0</v>
      </c>
      <c r="B30" s="44">
        <v>1.59577813E9</v>
      </c>
      <c r="C30" s="40">
        <f>IFERROR(__xludf.DUMMYFUNCTION("INDEX(SPLIT(B30, char(10)), 0, 1)/86400+date(1970,1,1)"),44038.654282407406)</f>
        <v>44038.65428</v>
      </c>
      <c r="D30" s="44" t="s">
        <v>93</v>
      </c>
      <c r="E30" s="44" t="s">
        <v>706</v>
      </c>
      <c r="F30" s="44" t="s">
        <v>737</v>
      </c>
    </row>
    <row r="31">
      <c r="A31" s="44">
        <v>13.0</v>
      </c>
      <c r="B31" s="44">
        <v>1.595778157E9</v>
      </c>
      <c r="C31" s="40">
        <f>IFERROR(__xludf.DUMMYFUNCTION("INDEX(SPLIT(B31, char(10)), 0, 1)/86400+date(1970,1,1)"),44038.654594907406)</f>
        <v>44038.65459</v>
      </c>
      <c r="D31" s="44" t="s">
        <v>90</v>
      </c>
      <c r="E31" s="44" t="s">
        <v>706</v>
      </c>
      <c r="F31" s="44" t="s">
        <v>738</v>
      </c>
    </row>
    <row r="32">
      <c r="A32" s="44">
        <v>13.0</v>
      </c>
      <c r="B32" s="44">
        <v>1.595778177E9</v>
      </c>
      <c r="C32" s="40">
        <f>IFERROR(__xludf.DUMMYFUNCTION("INDEX(SPLIT(B32, char(10)), 0, 1)/86400+date(1970,1,1)"),44038.65482638888)</f>
        <v>44038.65483</v>
      </c>
      <c r="D32" s="44" t="s">
        <v>103</v>
      </c>
      <c r="E32" s="44" t="s">
        <v>698</v>
      </c>
      <c r="F32" s="44" t="s">
        <v>739</v>
      </c>
    </row>
    <row r="33">
      <c r="A33" s="44">
        <v>13.0</v>
      </c>
      <c r="B33" s="44">
        <v>1.595778185E9</v>
      </c>
      <c r="C33" s="40">
        <f>IFERROR(__xludf.DUMMYFUNCTION("INDEX(SPLIT(B33, char(10)), 0, 1)/86400+date(1970,1,1)"),44038.65491898148)</f>
        <v>44038.65492</v>
      </c>
      <c r="D33" s="44" t="s">
        <v>81</v>
      </c>
      <c r="E33" s="44" t="s">
        <v>740</v>
      </c>
      <c r="F33" s="44" t="s">
        <v>741</v>
      </c>
    </row>
    <row r="34">
      <c r="A34" s="44">
        <v>14.0</v>
      </c>
      <c r="B34" s="44">
        <v>1.595778323E9</v>
      </c>
      <c r="C34" s="40">
        <f>IFERROR(__xludf.DUMMYFUNCTION("INDEX(SPLIT(B34, char(10)), 0, 1)/86400+date(1970,1,1)"),44038.6565162037)</f>
        <v>44038.65652</v>
      </c>
      <c r="D34" s="44" t="s">
        <v>81</v>
      </c>
      <c r="E34" s="44" t="s">
        <v>742</v>
      </c>
      <c r="F34" s="44" t="s">
        <v>743</v>
      </c>
    </row>
    <row r="35">
      <c r="A35" s="44">
        <v>15.0</v>
      </c>
      <c r="B35" s="44">
        <v>1.595778471E9</v>
      </c>
      <c r="C35" s="40">
        <f>IFERROR(__xludf.DUMMYFUNCTION("INDEX(SPLIT(B35, char(10)), 0, 1)/86400+date(1970,1,1)"),44038.65822916667)</f>
        <v>44038.65823</v>
      </c>
      <c r="D35" s="44" t="s">
        <v>174</v>
      </c>
      <c r="E35" s="44" t="s">
        <v>175</v>
      </c>
      <c r="F35" s="44" t="s">
        <v>744</v>
      </c>
    </row>
    <row r="36">
      <c r="A36" s="44">
        <v>15.0</v>
      </c>
      <c r="B36" s="44">
        <v>1.595778556E9</v>
      </c>
      <c r="C36" s="40">
        <f>IFERROR(__xludf.DUMMYFUNCTION("INDEX(SPLIT(B36, char(10)), 0, 1)/86400+date(1970,1,1)"),44038.659212962964)</f>
        <v>44038.65921</v>
      </c>
      <c r="D36" s="44" t="s">
        <v>96</v>
      </c>
      <c r="E36" s="44" t="s">
        <v>745</v>
      </c>
      <c r="F36" s="44" t="s">
        <v>746</v>
      </c>
    </row>
    <row r="37">
      <c r="A37" s="44">
        <v>16.0</v>
      </c>
      <c r="B37" s="44">
        <v>1.595778601E9</v>
      </c>
      <c r="C37" s="40">
        <f>IFERROR(__xludf.DUMMYFUNCTION("INDEX(SPLIT(B37, char(10)), 0, 1)/86400+date(1970,1,1)"),44038.659733796296)</f>
        <v>44038.65973</v>
      </c>
      <c r="D37" s="44" t="s">
        <v>90</v>
      </c>
      <c r="E37" s="44" t="s">
        <v>747</v>
      </c>
      <c r="F37" s="44" t="s">
        <v>748</v>
      </c>
    </row>
    <row r="38">
      <c r="A38" s="44">
        <v>17.0</v>
      </c>
      <c r="B38" s="44">
        <v>1.595778911E9</v>
      </c>
      <c r="C38" s="40">
        <f>IFERROR(__xludf.DUMMYFUNCTION("INDEX(SPLIT(B38, char(10)), 0, 1)/86400+date(1970,1,1)"),44038.66332175926)</f>
        <v>44038.66332</v>
      </c>
      <c r="D38" s="44" t="s">
        <v>749</v>
      </c>
      <c r="E38" s="44" t="s">
        <v>750</v>
      </c>
      <c r="F38" s="44" t="s">
        <v>751</v>
      </c>
    </row>
    <row r="39">
      <c r="A39" s="44">
        <v>17.0</v>
      </c>
      <c r="B39" s="44">
        <v>1.595778947E9</v>
      </c>
      <c r="C39" s="40">
        <f>IFERROR(__xludf.DUMMYFUNCTION("INDEX(SPLIT(B39, char(10)), 0, 1)/86400+date(1970,1,1)"),44038.66373842592)</f>
        <v>44038.66374</v>
      </c>
      <c r="D39" s="44" t="s">
        <v>93</v>
      </c>
      <c r="E39" s="44" t="s">
        <v>752</v>
      </c>
      <c r="F39" s="44" t="s">
        <v>753</v>
      </c>
    </row>
    <row r="40">
      <c r="A40" s="44">
        <v>18.0</v>
      </c>
      <c r="B40" s="44">
        <v>1.595779034E9</v>
      </c>
      <c r="C40" s="40">
        <f>IFERROR(__xludf.DUMMYFUNCTION("INDEX(SPLIT(B40, char(10)), 0, 1)/86400+date(1970,1,1)"),44038.66474537037)</f>
        <v>44038.66475</v>
      </c>
      <c r="D40" s="44" t="s">
        <v>749</v>
      </c>
      <c r="E40" s="44" t="s">
        <v>754</v>
      </c>
      <c r="F40" s="44" t="s">
        <v>755</v>
      </c>
    </row>
    <row r="41">
      <c r="A41" s="44">
        <v>19.0</v>
      </c>
      <c r="B41" s="44">
        <v>1.595779535E9</v>
      </c>
      <c r="C41" s="40">
        <f>IFERROR(__xludf.DUMMYFUNCTION("INDEX(SPLIT(B41, char(10)), 0, 1)/86400+date(1970,1,1)"),44038.67054398148)</f>
        <v>44038.67054</v>
      </c>
      <c r="D41" s="44" t="s">
        <v>103</v>
      </c>
      <c r="E41" s="44" t="s">
        <v>756</v>
      </c>
      <c r="F41" s="44" t="s">
        <v>757</v>
      </c>
    </row>
    <row r="42">
      <c r="A42" s="44">
        <v>19.0</v>
      </c>
      <c r="B42" s="44">
        <v>1.595779575E9</v>
      </c>
      <c r="C42" s="40">
        <f>IFERROR(__xludf.DUMMYFUNCTION("INDEX(SPLIT(B42, char(10)), 0, 1)/86400+date(1970,1,1)"),44038.671006944445)</f>
        <v>44038.67101</v>
      </c>
      <c r="D42" s="44" t="s">
        <v>124</v>
      </c>
      <c r="E42" s="44" t="s">
        <v>758</v>
      </c>
      <c r="F42" s="44" t="s">
        <v>759</v>
      </c>
    </row>
    <row r="43">
      <c r="A43" s="44">
        <v>20.0</v>
      </c>
      <c r="B43" s="44">
        <v>1.595779754E9</v>
      </c>
      <c r="C43" s="40">
        <f>IFERROR(__xludf.DUMMYFUNCTION("INDEX(SPLIT(B43, char(10)), 0, 1)/86400+date(1970,1,1)"),44038.67307870371)</f>
        <v>44038.67308</v>
      </c>
      <c r="D43" s="44" t="s">
        <v>81</v>
      </c>
      <c r="E43" s="44" t="s">
        <v>479</v>
      </c>
      <c r="F43" s="44" t="s">
        <v>760</v>
      </c>
    </row>
    <row r="44">
      <c r="A44" s="44">
        <v>21.0</v>
      </c>
      <c r="B44" s="44">
        <v>1.595779923E9</v>
      </c>
      <c r="C44" s="40">
        <f>IFERROR(__xludf.DUMMYFUNCTION("INDEX(SPLIT(B44, char(10)), 0, 1)/86400+date(1970,1,1)"),44038.675034722226)</f>
        <v>44038.67503</v>
      </c>
      <c r="D44" s="44" t="s">
        <v>81</v>
      </c>
      <c r="E44" s="44" t="s">
        <v>761</v>
      </c>
      <c r="F44" s="44" t="s">
        <v>762</v>
      </c>
    </row>
    <row r="45">
      <c r="A45" s="44">
        <v>21.0</v>
      </c>
      <c r="B45" s="44">
        <v>1.595779941E9</v>
      </c>
      <c r="C45" s="40">
        <f>IFERROR(__xludf.DUMMYFUNCTION("INDEX(SPLIT(B45, char(10)), 0, 1)/86400+date(1970,1,1)"),44038.67524305556)</f>
        <v>44038.67524</v>
      </c>
      <c r="D45" s="44" t="s">
        <v>90</v>
      </c>
      <c r="E45" s="44" t="s">
        <v>763</v>
      </c>
      <c r="F45" s="44" t="s">
        <v>764</v>
      </c>
    </row>
    <row r="46">
      <c r="A46" s="44">
        <v>22.0</v>
      </c>
      <c r="B46" s="44">
        <v>1.59578015E9</v>
      </c>
      <c r="C46" s="40">
        <f>IFERROR(__xludf.DUMMYFUNCTION("INDEX(SPLIT(B46, char(10)), 0, 1)/86400+date(1970,1,1)"),44038.67766203704)</f>
        <v>44038.67766</v>
      </c>
      <c r="D46" s="44" t="s">
        <v>128</v>
      </c>
      <c r="E46" s="44" t="s">
        <v>765</v>
      </c>
      <c r="F46" s="44" t="s">
        <v>766</v>
      </c>
    </row>
    <row r="47">
      <c r="A47" s="44">
        <v>22.0</v>
      </c>
      <c r="B47" s="44">
        <v>1.5957802E9</v>
      </c>
      <c r="C47" s="40">
        <f>IFERROR(__xludf.DUMMYFUNCTION("INDEX(SPLIT(B47, char(10)), 0, 1)/86400+date(1970,1,1)"),44038.678240740745)</f>
        <v>44038.67824</v>
      </c>
      <c r="D47" s="44" t="s">
        <v>96</v>
      </c>
      <c r="E47" s="44" t="s">
        <v>418</v>
      </c>
      <c r="F47" s="44" t="s">
        <v>767</v>
      </c>
    </row>
    <row r="48">
      <c r="A48" s="44">
        <v>23.0</v>
      </c>
      <c r="B48" s="44">
        <v>1.595780329E9</v>
      </c>
      <c r="C48" s="40">
        <f>IFERROR(__xludf.DUMMYFUNCTION("INDEX(SPLIT(B48, char(10)), 0, 1)/86400+date(1970,1,1)"),44038.67973379629)</f>
        <v>44038.67973</v>
      </c>
      <c r="D48" s="44" t="s">
        <v>370</v>
      </c>
      <c r="E48" s="44" t="s">
        <v>768</v>
      </c>
      <c r="F48" s="44" t="s">
        <v>769</v>
      </c>
    </row>
    <row r="49">
      <c r="A49" s="44">
        <v>23.0</v>
      </c>
      <c r="B49" s="44">
        <v>1.595780412E9</v>
      </c>
      <c r="C49" s="40">
        <f>IFERROR(__xludf.DUMMYFUNCTION("INDEX(SPLIT(B49, char(10)), 0, 1)/86400+date(1970,1,1)"),44038.68069444444)</f>
        <v>44038.68069</v>
      </c>
      <c r="D49" s="44" t="s">
        <v>136</v>
      </c>
      <c r="E49" s="44" t="s">
        <v>244</v>
      </c>
      <c r="F49" s="44" t="s">
        <v>770</v>
      </c>
    </row>
    <row r="50">
      <c r="A50" s="44">
        <v>24.0</v>
      </c>
      <c r="B50" s="44">
        <v>1.595780524E9</v>
      </c>
      <c r="C50" s="40">
        <f>IFERROR(__xludf.DUMMYFUNCTION("INDEX(SPLIT(B50, char(10)), 0, 1)/86400+date(1970,1,1)"),44038.68199074074)</f>
        <v>44038.68199</v>
      </c>
      <c r="D50" s="44" t="s">
        <v>128</v>
      </c>
      <c r="E50" s="44" t="s">
        <v>771</v>
      </c>
      <c r="F50" s="44" t="s">
        <v>772</v>
      </c>
    </row>
    <row r="51">
      <c r="A51" s="44">
        <v>24.0</v>
      </c>
      <c r="B51" s="44">
        <v>1.595780605E9</v>
      </c>
      <c r="C51" s="40">
        <f>IFERROR(__xludf.DUMMYFUNCTION("INDEX(SPLIT(B51, char(10)), 0, 1)/86400+date(1970,1,1)"),44038.68292824074)</f>
        <v>44038.68293</v>
      </c>
      <c r="D51" s="44" t="s">
        <v>81</v>
      </c>
      <c r="E51" s="44" t="s">
        <v>479</v>
      </c>
      <c r="F51" s="44" t="s">
        <v>773</v>
      </c>
    </row>
    <row r="52">
      <c r="A52" s="44">
        <v>25.0</v>
      </c>
      <c r="B52" s="44">
        <v>1.595780642E9</v>
      </c>
      <c r="C52" s="40">
        <f>IFERROR(__xludf.DUMMYFUNCTION("INDEX(SPLIT(B52, char(10)), 0, 1)/86400+date(1970,1,1)"),44038.68335648148)</f>
        <v>44038.68336</v>
      </c>
      <c r="D52" s="44" t="s">
        <v>103</v>
      </c>
      <c r="E52" s="44" t="s">
        <v>698</v>
      </c>
      <c r="F52" s="44" t="s">
        <v>774</v>
      </c>
    </row>
    <row r="53">
      <c r="A53" s="44">
        <v>26.0</v>
      </c>
      <c r="B53" s="44">
        <v>1.595780826E9</v>
      </c>
      <c r="C53" s="40">
        <f>IFERROR(__xludf.DUMMYFUNCTION("INDEX(SPLIT(B53, char(10)), 0, 1)/86400+date(1970,1,1)"),44038.685486111106)</f>
        <v>44038.68549</v>
      </c>
      <c r="D53" s="44" t="s">
        <v>749</v>
      </c>
      <c r="E53" s="44" t="s">
        <v>775</v>
      </c>
      <c r="F53" s="44" t="s">
        <v>776</v>
      </c>
    </row>
    <row r="54">
      <c r="A54" s="44">
        <v>26.0</v>
      </c>
      <c r="B54" s="44">
        <v>1.595780831E9</v>
      </c>
      <c r="C54" s="40">
        <f>IFERROR(__xludf.DUMMYFUNCTION("INDEX(SPLIT(B54, char(10)), 0, 1)/86400+date(1970,1,1)"),44038.68554398148)</f>
        <v>44038.68554</v>
      </c>
      <c r="D54" s="44" t="s">
        <v>124</v>
      </c>
      <c r="E54" s="44" t="s">
        <v>775</v>
      </c>
      <c r="F54" s="44" t="s">
        <v>777</v>
      </c>
    </row>
    <row r="55">
      <c r="A55" s="44">
        <v>26.0</v>
      </c>
      <c r="B55" s="44">
        <v>1.595780848E9</v>
      </c>
      <c r="C55" s="40">
        <f>IFERROR(__xludf.DUMMYFUNCTION("INDEX(SPLIT(B55, char(10)), 0, 1)/86400+date(1970,1,1)"),44038.68574074074)</f>
        <v>44038.68574</v>
      </c>
      <c r="D55" s="44" t="s">
        <v>128</v>
      </c>
      <c r="E55" s="44" t="s">
        <v>778</v>
      </c>
      <c r="F55" s="44" t="s">
        <v>779</v>
      </c>
    </row>
    <row r="56">
      <c r="A56" s="44">
        <v>26.0</v>
      </c>
      <c r="B56" s="44">
        <v>1.595780855E9</v>
      </c>
      <c r="C56" s="40">
        <f>IFERROR(__xludf.DUMMYFUNCTION("INDEX(SPLIT(B56, char(10)), 0, 1)/86400+date(1970,1,1)"),44038.68582175926)</f>
        <v>44038.68582</v>
      </c>
      <c r="D56" s="44" t="s">
        <v>81</v>
      </c>
      <c r="E56" s="44" t="s">
        <v>780</v>
      </c>
      <c r="F56" s="44" t="s">
        <v>781</v>
      </c>
    </row>
    <row r="57">
      <c r="A57" s="44">
        <v>27.0</v>
      </c>
      <c r="B57" s="44">
        <v>1.595780925E9</v>
      </c>
      <c r="C57" s="40">
        <f>IFERROR(__xludf.DUMMYFUNCTION("INDEX(SPLIT(B57, char(10)), 0, 1)/86400+date(1970,1,1)"),44038.686631944445)</f>
        <v>44038.68663</v>
      </c>
      <c r="D57" s="44" t="s">
        <v>93</v>
      </c>
      <c r="E57" s="44" t="s">
        <v>782</v>
      </c>
      <c r="F57" s="44" t="s">
        <v>783</v>
      </c>
    </row>
    <row r="58">
      <c r="A58" s="44">
        <v>27.0</v>
      </c>
      <c r="B58" s="44">
        <v>1.595780955E9</v>
      </c>
      <c r="C58" s="40">
        <f>IFERROR(__xludf.DUMMYFUNCTION("INDEX(SPLIT(B58, char(10)), 0, 1)/86400+date(1970,1,1)"),44038.68697916667)</f>
        <v>44038.68698</v>
      </c>
      <c r="D58" s="44" t="s">
        <v>131</v>
      </c>
      <c r="E58" s="44" t="s">
        <v>784</v>
      </c>
      <c r="F58" s="44" t="s">
        <v>785</v>
      </c>
    </row>
    <row r="59">
      <c r="A59" s="44">
        <v>27.0</v>
      </c>
      <c r="B59" s="44">
        <v>1.595780969E9</v>
      </c>
      <c r="C59" s="40">
        <f>IFERROR(__xludf.DUMMYFUNCTION("INDEX(SPLIT(B59, char(10)), 0, 1)/86400+date(1970,1,1)"),44038.6871412037)</f>
        <v>44038.68714</v>
      </c>
      <c r="D59" s="44" t="s">
        <v>81</v>
      </c>
      <c r="E59" s="44" t="s">
        <v>786</v>
      </c>
      <c r="F59" s="44" t="s">
        <v>787</v>
      </c>
    </row>
    <row r="60">
      <c r="A60" s="44">
        <v>27.0</v>
      </c>
      <c r="B60" s="44">
        <v>1.595780993E9</v>
      </c>
      <c r="C60" s="40">
        <f>IFERROR(__xludf.DUMMYFUNCTION("INDEX(SPLIT(B60, char(10)), 0, 1)/86400+date(1970,1,1)"),44038.687418981484)</f>
        <v>44038.68742</v>
      </c>
      <c r="D60" s="44" t="s">
        <v>90</v>
      </c>
      <c r="E60" s="44" t="s">
        <v>788</v>
      </c>
      <c r="F60" s="44" t="s">
        <v>789</v>
      </c>
    </row>
    <row r="61">
      <c r="A61" s="44">
        <v>27.0</v>
      </c>
      <c r="B61" s="44">
        <v>1.595781003E9</v>
      </c>
      <c r="C61" s="40">
        <f>IFERROR(__xludf.DUMMYFUNCTION("INDEX(SPLIT(B61, char(10)), 0, 1)/86400+date(1970,1,1)"),44038.68753472222)</f>
        <v>44038.68753</v>
      </c>
      <c r="D61" s="44" t="s">
        <v>749</v>
      </c>
      <c r="E61" s="44" t="s">
        <v>790</v>
      </c>
      <c r="F61" s="44" t="s">
        <v>791</v>
      </c>
    </row>
    <row r="62">
      <c r="A62" s="44">
        <v>28.0</v>
      </c>
      <c r="B62" s="44">
        <v>1.595781098E9</v>
      </c>
      <c r="C62" s="40">
        <f>IFERROR(__xludf.DUMMYFUNCTION("INDEX(SPLIT(B62, char(10)), 0, 1)/86400+date(1970,1,1)"),44038.68863425926)</f>
        <v>44038.68863</v>
      </c>
      <c r="D62" s="44" t="s">
        <v>81</v>
      </c>
      <c r="E62" s="44" t="s">
        <v>491</v>
      </c>
      <c r="F62" s="44" t="s">
        <v>792</v>
      </c>
    </row>
    <row r="63">
      <c r="A63" s="44">
        <v>28.0</v>
      </c>
      <c r="B63" s="44">
        <v>1.595781129E9</v>
      </c>
      <c r="C63" s="40">
        <f>IFERROR(__xludf.DUMMYFUNCTION("INDEX(SPLIT(B63, char(10)), 0, 1)/86400+date(1970,1,1)"),44038.688993055555)</f>
        <v>44038.68899</v>
      </c>
      <c r="D63" s="44" t="s">
        <v>124</v>
      </c>
      <c r="E63" s="44" t="s">
        <v>491</v>
      </c>
      <c r="F63" s="44" t="s">
        <v>793</v>
      </c>
    </row>
    <row r="64">
      <c r="A64" s="44">
        <v>29.0</v>
      </c>
      <c r="B64" s="44">
        <v>1.595781188E9</v>
      </c>
      <c r="C64" s="40">
        <f>IFERROR(__xludf.DUMMYFUNCTION("INDEX(SPLIT(B64, char(10)), 0, 1)/86400+date(1970,1,1)"),44038.689675925925)</f>
        <v>44038.68968</v>
      </c>
      <c r="D64" s="44" t="s">
        <v>749</v>
      </c>
      <c r="E64" s="44" t="s">
        <v>754</v>
      </c>
      <c r="F64" s="44" t="s">
        <v>794</v>
      </c>
    </row>
    <row r="65">
      <c r="A65" s="44">
        <v>29.0</v>
      </c>
      <c r="B65" s="44">
        <v>1.595781225E9</v>
      </c>
      <c r="C65" s="40">
        <f>IFERROR(__xludf.DUMMYFUNCTION("INDEX(SPLIT(B65, char(10)), 0, 1)/86400+date(1970,1,1)"),44038.69010416667)</f>
        <v>44038.6901</v>
      </c>
      <c r="D65" s="44" t="s">
        <v>174</v>
      </c>
      <c r="E65" s="44" t="s">
        <v>716</v>
      </c>
      <c r="F65" s="44" t="s">
        <v>795</v>
      </c>
    </row>
    <row r="66">
      <c r="A66" s="44">
        <v>30.0</v>
      </c>
      <c r="B66" s="44">
        <v>1.595781286E9</v>
      </c>
      <c r="C66" s="40">
        <f>IFERROR(__xludf.DUMMYFUNCTION("INDEX(SPLIT(B66, char(10)), 0, 1)/86400+date(1970,1,1)"),44038.69081018519)</f>
        <v>44038.69081</v>
      </c>
      <c r="D66" s="44" t="s">
        <v>90</v>
      </c>
      <c r="E66" s="44" t="s">
        <v>796</v>
      </c>
      <c r="F66" s="44" t="s">
        <v>797</v>
      </c>
    </row>
    <row r="67">
      <c r="A67" s="44">
        <v>30.0</v>
      </c>
      <c r="B67" s="44">
        <v>1.59578131E9</v>
      </c>
      <c r="C67" s="40">
        <f>IFERROR(__xludf.DUMMYFUNCTION("INDEX(SPLIT(B67, char(10)), 0, 1)/86400+date(1970,1,1)"),44038.69108796296)</f>
        <v>44038.69109</v>
      </c>
      <c r="D67" s="44" t="s">
        <v>81</v>
      </c>
      <c r="E67" s="44" t="s">
        <v>798</v>
      </c>
      <c r="F67" s="44" t="s">
        <v>799</v>
      </c>
    </row>
    <row r="68">
      <c r="A68" s="44">
        <v>30.0</v>
      </c>
      <c r="B68" s="44">
        <v>1.59578132E9</v>
      </c>
      <c r="C68" s="40">
        <f>IFERROR(__xludf.DUMMYFUNCTION("INDEX(SPLIT(B68, char(10)), 0, 1)/86400+date(1970,1,1)"),44038.691203703704)</f>
        <v>44038.6912</v>
      </c>
      <c r="D68" s="44" t="s">
        <v>93</v>
      </c>
      <c r="E68" s="44" t="s">
        <v>800</v>
      </c>
      <c r="F68" s="44" t="s">
        <v>801</v>
      </c>
    </row>
    <row r="69">
      <c r="A69" s="44">
        <v>30.0</v>
      </c>
      <c r="B69" s="44">
        <v>1.59578133E9</v>
      </c>
      <c r="C69" s="40">
        <f>IFERROR(__xludf.DUMMYFUNCTION("INDEX(SPLIT(B69, char(10)), 0, 1)/86400+date(1970,1,1)"),44038.69131944445)</f>
        <v>44038.69132</v>
      </c>
      <c r="D69" s="44" t="s">
        <v>131</v>
      </c>
      <c r="E69" s="44" t="s">
        <v>800</v>
      </c>
      <c r="F69" s="44" t="s">
        <v>802</v>
      </c>
    </row>
    <row r="70">
      <c r="A70" s="44">
        <v>30.0</v>
      </c>
      <c r="B70" s="44">
        <v>1.595781348E9</v>
      </c>
      <c r="C70" s="40">
        <f>IFERROR(__xludf.DUMMYFUNCTION("INDEX(SPLIT(B70, char(10)), 0, 1)/86400+date(1970,1,1)"),44038.69152777777)</f>
        <v>44038.69153</v>
      </c>
      <c r="D70" s="44" t="s">
        <v>96</v>
      </c>
      <c r="E70" s="44" t="s">
        <v>800</v>
      </c>
      <c r="F70" s="44" t="s">
        <v>803</v>
      </c>
    </row>
    <row r="71">
      <c r="A71" s="44">
        <v>31.0</v>
      </c>
      <c r="B71" s="44">
        <v>1.595781426E9</v>
      </c>
      <c r="C71" s="40">
        <f>IFERROR(__xludf.DUMMYFUNCTION("INDEX(SPLIT(B71, char(10)), 0, 1)/86400+date(1970,1,1)"),44038.69243055556)</f>
        <v>44038.69243</v>
      </c>
      <c r="D71" s="44" t="s">
        <v>81</v>
      </c>
      <c r="E71" s="44" t="s">
        <v>804</v>
      </c>
      <c r="F71" s="44" t="s">
        <v>805</v>
      </c>
    </row>
    <row r="72">
      <c r="A72" s="44">
        <v>32.0</v>
      </c>
      <c r="B72" s="44">
        <v>1.595781537E9</v>
      </c>
      <c r="C72" s="40">
        <f>IFERROR(__xludf.DUMMYFUNCTION("INDEX(SPLIT(B72, char(10)), 0, 1)/86400+date(1970,1,1)"),44038.69371527778)</f>
        <v>44038.69372</v>
      </c>
      <c r="D72" s="44" t="s">
        <v>93</v>
      </c>
      <c r="E72" s="44" t="s">
        <v>806</v>
      </c>
      <c r="F72" s="44" t="s">
        <v>807</v>
      </c>
    </row>
    <row r="73">
      <c r="A73" s="44">
        <v>32.0</v>
      </c>
      <c r="B73" s="44">
        <v>1.595781556E9</v>
      </c>
      <c r="C73" s="40">
        <f>IFERROR(__xludf.DUMMYFUNCTION("INDEX(SPLIT(B73, char(10)), 0, 1)/86400+date(1970,1,1)"),44038.69393518519)</f>
        <v>44038.69394</v>
      </c>
      <c r="D73" s="44" t="s">
        <v>124</v>
      </c>
      <c r="E73" s="44" t="s">
        <v>808</v>
      </c>
      <c r="F73" s="44" t="s">
        <v>809</v>
      </c>
    </row>
    <row r="74">
      <c r="A74" s="44">
        <v>33.0</v>
      </c>
      <c r="B74" s="44">
        <v>1.595781696E9</v>
      </c>
      <c r="C74" s="40">
        <f>IFERROR(__xludf.DUMMYFUNCTION("INDEX(SPLIT(B74, char(10)), 0, 1)/86400+date(1970,1,1)"),44038.695555555554)</f>
        <v>44038.69556</v>
      </c>
      <c r="D74" s="44" t="s">
        <v>103</v>
      </c>
      <c r="E74" s="44" t="s">
        <v>698</v>
      </c>
      <c r="F74" s="44" t="s">
        <v>810</v>
      </c>
    </row>
    <row r="75">
      <c r="A75" s="44">
        <v>33.0</v>
      </c>
      <c r="B75" s="44">
        <v>1.595781723E9</v>
      </c>
      <c r="C75" s="40">
        <f>IFERROR(__xludf.DUMMYFUNCTION("INDEX(SPLIT(B75, char(10)), 0, 1)/86400+date(1970,1,1)"),44038.695868055554)</f>
        <v>44038.69587</v>
      </c>
      <c r="D75" s="44" t="s">
        <v>128</v>
      </c>
      <c r="E75" s="44" t="s">
        <v>811</v>
      </c>
      <c r="F75" s="44" t="s">
        <v>812</v>
      </c>
    </row>
    <row r="76">
      <c r="A76" s="44">
        <v>33.0</v>
      </c>
      <c r="B76" s="44">
        <v>1.595781742E9</v>
      </c>
      <c r="C76" s="40">
        <f>IFERROR(__xludf.DUMMYFUNCTION("INDEX(SPLIT(B76, char(10)), 0, 1)/86400+date(1970,1,1)"),44038.69608796296)</f>
        <v>44038.69609</v>
      </c>
      <c r="D76" s="44" t="s">
        <v>96</v>
      </c>
      <c r="E76" s="44" t="s">
        <v>813</v>
      </c>
      <c r="F76" s="44" t="s">
        <v>814</v>
      </c>
    </row>
    <row r="77">
      <c r="A77" s="44">
        <v>33.0</v>
      </c>
      <c r="B77" s="44">
        <v>1.595781744E9</v>
      </c>
      <c r="C77" s="40">
        <f>IFERROR(__xludf.DUMMYFUNCTION("INDEX(SPLIT(B77, char(10)), 0, 1)/86400+date(1970,1,1)"),44038.696111111116)</f>
        <v>44038.69611</v>
      </c>
      <c r="D77" s="44" t="s">
        <v>131</v>
      </c>
      <c r="E77" s="44" t="s">
        <v>815</v>
      </c>
      <c r="F77" s="44" t="s">
        <v>816</v>
      </c>
    </row>
    <row r="78">
      <c r="A78" s="44">
        <v>33.0</v>
      </c>
      <c r="B78" s="44">
        <v>1.595781753E9</v>
      </c>
      <c r="C78" s="40">
        <f>IFERROR(__xludf.DUMMYFUNCTION("INDEX(SPLIT(B78, char(10)), 0, 1)/86400+date(1970,1,1)"),44038.69621527778)</f>
        <v>44038.69622</v>
      </c>
      <c r="D78" s="44" t="s">
        <v>136</v>
      </c>
      <c r="E78" s="44" t="s">
        <v>137</v>
      </c>
      <c r="F78" s="44" t="s">
        <v>817</v>
      </c>
    </row>
    <row r="79">
      <c r="A79" s="44">
        <v>33.0</v>
      </c>
      <c r="B79" s="44">
        <v>1.595781759E9</v>
      </c>
      <c r="C79" s="40">
        <f>IFERROR(__xludf.DUMMYFUNCTION("INDEX(SPLIT(B79, char(10)), 0, 1)/86400+date(1970,1,1)"),44038.696284722224)</f>
        <v>44038.69628</v>
      </c>
      <c r="D79" s="44" t="s">
        <v>124</v>
      </c>
      <c r="E79" s="44" t="s">
        <v>125</v>
      </c>
      <c r="F79" s="44" t="s">
        <v>818</v>
      </c>
    </row>
    <row r="80">
      <c r="A80" s="44">
        <v>34.0</v>
      </c>
      <c r="B80" s="44">
        <v>1.595782244E9</v>
      </c>
      <c r="C80" s="40">
        <f>IFERROR(__xludf.DUMMYFUNCTION("INDEX(SPLIT(B80, char(10)), 0, 1)/86400+date(1970,1,1)"),44038.70189814815)</f>
        <v>44038.7019</v>
      </c>
      <c r="D80" s="44" t="s">
        <v>124</v>
      </c>
      <c r="E80" s="44" t="s">
        <v>819</v>
      </c>
      <c r="F80" s="44" t="s">
        <v>820</v>
      </c>
    </row>
    <row r="81">
      <c r="A81" s="44">
        <v>34.0</v>
      </c>
      <c r="B81" s="44">
        <v>1.595782329E9</v>
      </c>
      <c r="C81" s="40">
        <f>IFERROR(__xludf.DUMMYFUNCTION("INDEX(SPLIT(B81, char(10)), 0, 1)/86400+date(1970,1,1)"),44038.702881944446)</f>
        <v>44038.70288</v>
      </c>
      <c r="D81" s="44" t="s">
        <v>128</v>
      </c>
      <c r="E81" s="44" t="s">
        <v>821</v>
      </c>
      <c r="F81" s="44" t="s">
        <v>822</v>
      </c>
    </row>
    <row r="82">
      <c r="A82" s="44">
        <v>35.0</v>
      </c>
      <c r="B82" s="44">
        <v>1.595782383E9</v>
      </c>
      <c r="C82" s="40">
        <f>IFERROR(__xludf.DUMMYFUNCTION("INDEX(SPLIT(B82, char(10)), 0, 1)/86400+date(1970,1,1)"),44038.70350694444)</f>
        <v>44038.70351</v>
      </c>
      <c r="D82" s="44" t="s">
        <v>124</v>
      </c>
      <c r="E82" s="44" t="s">
        <v>823</v>
      </c>
      <c r="F82" s="44" t="s">
        <v>824</v>
      </c>
    </row>
    <row r="83">
      <c r="A83" s="44">
        <v>35.0</v>
      </c>
      <c r="B83" s="44">
        <v>1.595782404E9</v>
      </c>
      <c r="C83" s="40">
        <f>IFERROR(__xludf.DUMMYFUNCTION("INDEX(SPLIT(B83, char(10)), 0, 1)/86400+date(1970,1,1)"),44038.70375)</f>
        <v>44038.70375</v>
      </c>
      <c r="D83" s="44" t="s">
        <v>90</v>
      </c>
      <c r="E83" s="44" t="s">
        <v>825</v>
      </c>
      <c r="F83" s="44" t="s">
        <v>826</v>
      </c>
    </row>
    <row r="84">
      <c r="A84" s="44">
        <v>35.0</v>
      </c>
      <c r="B84" s="44">
        <v>1.595782408E9</v>
      </c>
      <c r="C84" s="40">
        <f>IFERROR(__xludf.DUMMYFUNCTION("INDEX(SPLIT(B84, char(10)), 0, 1)/86400+date(1970,1,1)"),44038.70379629629)</f>
        <v>44038.7038</v>
      </c>
      <c r="D84" s="44" t="s">
        <v>749</v>
      </c>
      <c r="E84" s="44" t="s">
        <v>827</v>
      </c>
      <c r="F84" s="44" t="s">
        <v>828</v>
      </c>
    </row>
    <row r="85">
      <c r="A85" s="44">
        <v>35.0</v>
      </c>
      <c r="B85" s="44">
        <v>1.595782445E9</v>
      </c>
      <c r="C85" s="40">
        <f>IFERROR(__xludf.DUMMYFUNCTION("INDEX(SPLIT(B85, char(10)), 0, 1)/86400+date(1970,1,1)"),44038.70422453704)</f>
        <v>44038.70422</v>
      </c>
      <c r="D85" s="44" t="s">
        <v>174</v>
      </c>
      <c r="E85" s="44" t="s">
        <v>829</v>
      </c>
      <c r="F85" s="44" t="s">
        <v>830</v>
      </c>
    </row>
    <row r="86">
      <c r="A86" s="44">
        <v>36.0</v>
      </c>
      <c r="B86" s="44">
        <v>1.595782564E9</v>
      </c>
      <c r="C86" s="40">
        <f>IFERROR(__xludf.DUMMYFUNCTION("INDEX(SPLIT(B86, char(10)), 0, 1)/86400+date(1970,1,1)"),44038.70560185185)</f>
        <v>44038.7056</v>
      </c>
      <c r="D86" s="44" t="s">
        <v>124</v>
      </c>
      <c r="E86" s="44" t="s">
        <v>831</v>
      </c>
      <c r="F86" s="44" t="s">
        <v>832</v>
      </c>
    </row>
    <row r="87">
      <c r="A87" s="44">
        <v>36.0</v>
      </c>
      <c r="B87" s="44">
        <v>1.595782581E9</v>
      </c>
      <c r="C87" s="40">
        <f>IFERROR(__xludf.DUMMYFUNCTION("INDEX(SPLIT(B87, char(10)), 0, 1)/86400+date(1970,1,1)"),44038.70579861111)</f>
        <v>44038.7058</v>
      </c>
      <c r="D87" s="44" t="s">
        <v>93</v>
      </c>
      <c r="E87" s="44" t="s">
        <v>800</v>
      </c>
      <c r="F87" s="44" t="s">
        <v>833</v>
      </c>
    </row>
    <row r="88">
      <c r="A88" s="44">
        <v>36.0</v>
      </c>
      <c r="B88" s="44">
        <v>1.595782592E9</v>
      </c>
      <c r="C88" s="40">
        <f>IFERROR(__xludf.DUMMYFUNCTION("INDEX(SPLIT(B88, char(10)), 0, 1)/86400+date(1970,1,1)"),44038.705925925926)</f>
        <v>44038.70593</v>
      </c>
      <c r="D88" s="44" t="s">
        <v>81</v>
      </c>
      <c r="E88" s="44" t="s">
        <v>800</v>
      </c>
      <c r="F88" s="44" t="s">
        <v>834</v>
      </c>
    </row>
    <row r="89">
      <c r="A89" s="44">
        <v>36.0</v>
      </c>
      <c r="B89" s="44">
        <v>1.595782607E9</v>
      </c>
      <c r="C89" s="40">
        <f>IFERROR(__xludf.DUMMYFUNCTION("INDEX(SPLIT(B89, char(10)), 0, 1)/86400+date(1970,1,1)"),44038.70609953704)</f>
        <v>44038.7061</v>
      </c>
      <c r="D89" s="44" t="s">
        <v>131</v>
      </c>
      <c r="E89" s="44" t="s">
        <v>835</v>
      </c>
      <c r="F89" s="44" t="s">
        <v>836</v>
      </c>
    </row>
    <row r="90">
      <c r="A90" s="44">
        <v>37.0</v>
      </c>
      <c r="B90" s="44">
        <v>1.595782698E9</v>
      </c>
      <c r="C90" s="40">
        <f>IFERROR(__xludf.DUMMYFUNCTION("INDEX(SPLIT(B90, char(10)), 0, 1)/86400+date(1970,1,1)"),44038.70715277777)</f>
        <v>44038.70715</v>
      </c>
      <c r="D90" s="44" t="s">
        <v>749</v>
      </c>
      <c r="E90" s="44" t="s">
        <v>837</v>
      </c>
      <c r="F90" s="44" t="s">
        <v>838</v>
      </c>
    </row>
    <row r="91">
      <c r="A91" s="44">
        <v>37.0</v>
      </c>
      <c r="B91" s="44">
        <v>1.595782752E9</v>
      </c>
      <c r="C91" s="40">
        <f>IFERROR(__xludf.DUMMYFUNCTION("INDEX(SPLIT(B91, char(10)), 0, 1)/86400+date(1970,1,1)"),44038.707777777774)</f>
        <v>44038.70778</v>
      </c>
      <c r="D91" s="44" t="s">
        <v>81</v>
      </c>
      <c r="E91" s="44" t="s">
        <v>839</v>
      </c>
      <c r="F91" s="44" t="s">
        <v>840</v>
      </c>
    </row>
    <row r="92">
      <c r="C92" s="40"/>
    </row>
    <row r="93">
      <c r="C93" s="40"/>
    </row>
    <row r="94">
      <c r="C94" s="40"/>
    </row>
    <row r="95">
      <c r="C95" s="40"/>
    </row>
    <row r="96">
      <c r="C96" s="40"/>
    </row>
    <row r="97">
      <c r="C97" s="4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IFERROR(__xludf.DUMMYFUNCTION("TRANSPOSE(UNIQUE(INDIRECT(B2&amp;""!D2:D107"")))"),"['deflect', 'kick', 'corner', 'shot', 'net']")</f>
        <v>['deflect', 'kick', 'corner', 'shot', 'net']</v>
      </c>
      <c r="G1" s="5" t="str">
        <f>IFERROR(__xludf.DUMMYFUNCTION("""COMPUTED_VALUE"""),"['champion', 'final', 'leagu', 'footbal', 'win']")</f>
        <v>['champion', 'final', 'leagu', 'footbal', 'win']</v>
      </c>
      <c r="H1" s="5" t="str">
        <f>IFERROR(__xludf.DUMMYFUNCTION("""COMPUTED_VALUE"""),"['need', 'half', 'sub', 'second', 'lead', '2nd']")</f>
        <v>['need', 'half', 'sub', 'second', 'lead', '2nd']</v>
      </c>
      <c r="I1" s="5" t="str">
        <f>IFERROR(__xludf.DUMMYFUNCTION("""COMPUTED_VALUE"""),"['foul', 'refere', 'book', 'decis', 'var', 'given', 'pen', 'dive', 'ref', 'penalti']")</f>
        <v>['foul', 'refere', 'book', 'decis', 'var', 'given', 'pen', 'dive', 'ref', 'penalti']</v>
      </c>
      <c r="J1" s="5" t="str">
        <f>IFERROR(__xludf.DUMMYFUNCTION("""COMPUTED_VALUE"""),"['touch', 'cross', 'ball', 'pass']")</f>
        <v>['touch', 'cross', 'ball', 'pass']</v>
      </c>
      <c r="K1" s="5" t="str">
        <f>IFERROR(__xludf.DUMMYFUNCTION("""COMPUTED_VALUE"""),"['tackl', 'dribbl', 'yellow', 'red', 'card']")</f>
        <v>['tackl', 'dribbl', 'yellow', 'red', 'card']</v>
      </c>
      <c r="L1" s="5" t="str">
        <f>IFERROR(__xludf.DUMMYFUNCTION("""COMPUTED_VALUE"""),"['gol', 'stream', 'onlin', 'free', 'reddit', 'link', 'EXCLUDED-manchest', 'ff', 'live']")</f>
        <v>['gol', 'stream', 'onlin', 'free', 'reddit', 'link', 'EXCLUDED-manchest', 'ff', 'live']</v>
      </c>
      <c r="M1" s="5" t="str">
        <f>IFERROR(__xludf.DUMMYFUNCTION("""COMPUTED_VALUE"""),"['goal', 'score', 'conced', 'equalis', 'offsid', 'assist']")</f>
        <v>['goal', 'score', 'conced', 'equalis', 'offsid', 'assist']</v>
      </c>
      <c r="N1" s="5" t="str">
        <f>IFERROR(__xludf.DUMMYFUNCTION("""COMPUTED_VALUE"""),"['take', 'knee', 'player']")</f>
        <v>['take', 'knee', 'player']</v>
      </c>
      <c r="O1" s="5" t="str">
        <f>IFERROR(__xludf.DUMMYFUNCTION("""COMPUTED_VALUE"""),"['keeper', 'best', 'goalkeep', 'defend', 'EXCLUDED-kepa', 'save']")</f>
        <v>['keeper', 'best', 'goalkeep', 'defend', 'EXCLUDED-kepa', 'save']</v>
      </c>
      <c r="P1" s="5" t="str">
        <f>IFERROR(__xludf.DUMMYFUNCTION("""COMPUTED_VALUE"""),"['EXCLUDED-man', 'utd']")</f>
        <v>['EXCLUDED-man', 'utd']</v>
      </c>
      <c r="Q1" s="5" t="str">
        <f>IFERROR(__xludf.DUMMYFUNCTION("""COMPUTED_VALUE"""),"['hit', 'post']")</f>
        <v>['hit', 'post']</v>
      </c>
      <c r="R1" s="5"/>
    </row>
    <row r="2">
      <c r="A2" s="14" t="s">
        <v>31</v>
      </c>
      <c r="B2" s="15" t="s">
        <v>841</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f t="shared" ref="G3:G7" si="2">F3/SUM(F$3:F$7)</f>
        <v>0</v>
      </c>
      <c r="H3" s="20" t="s">
        <v>14</v>
      </c>
      <c r="I3" s="21">
        <f t="shared" ref="I3:I7" si="3">COUNTIF(J$10:J1007,H3)</f>
        <v>0</v>
      </c>
      <c r="J3" s="22">
        <f t="shared" ref="J3:J7" si="4">I3/SUM(I$3:I$7)</f>
        <v>0</v>
      </c>
      <c r="K3" s="20" t="s">
        <v>14</v>
      </c>
      <c r="L3" s="21">
        <f t="shared" ref="L3:L7" si="5">COUNTIF(M$10:M1007,K3)</f>
        <v>0</v>
      </c>
      <c r="M3" s="22">
        <f t="shared" ref="M3:M7" si="6">L3/SUM(L$3:L$7)</f>
        <v>0</v>
      </c>
      <c r="N3" s="20" t="s">
        <v>14</v>
      </c>
      <c r="O3" s="21">
        <f t="shared" ref="O3:O7" si="7">COUNTIF(P$10:P1007,N3)</f>
        <v>1</v>
      </c>
      <c r="P3" s="22">
        <f t="shared" ref="P3:P7" si="8">O3/SUM(O$3:O$7)</f>
        <v>0.1</v>
      </c>
      <c r="Q3" s="20" t="s">
        <v>14</v>
      </c>
      <c r="R3" s="21">
        <f t="shared" ref="R3:R7" si="9">COUNTIF(S$10:S1007,Q3)</f>
        <v>0</v>
      </c>
      <c r="S3" s="22">
        <f t="shared" ref="S3:S7" si="10">R3/SUM(R$3:R$7)</f>
        <v>0</v>
      </c>
      <c r="T3" s="20" t="s">
        <v>14</v>
      </c>
      <c r="U3" s="21">
        <f t="shared" ref="U3:U7" si="11">COUNTIF(V$10:V1007,T3)</f>
        <v>0</v>
      </c>
      <c r="V3" s="22">
        <f t="shared" ref="V3:V7" si="12">U3/SUM(U$3:U$7)</f>
        <v>0</v>
      </c>
      <c r="W3" s="20" t="s">
        <v>14</v>
      </c>
      <c r="X3" s="21">
        <f t="shared" ref="X3:X7" si="13">COUNTIF(Y$10:Y1007,W3)</f>
        <v>0</v>
      </c>
      <c r="Y3" s="22">
        <f t="shared" ref="Y3:Y7" si="14">X3/SUM(X$3:X$7)</f>
        <v>0</v>
      </c>
      <c r="Z3" s="20" t="s">
        <v>14</v>
      </c>
      <c r="AA3" s="21">
        <f t="shared" ref="AA3:AA7" si="15">COUNTIF(AB$10:AB1007,Z3)</f>
        <v>2</v>
      </c>
      <c r="AB3" s="22">
        <f t="shared" ref="AB3:AB7" si="16">AA3/SUM(AA$3:AA$7)</f>
        <v>0.2</v>
      </c>
      <c r="AC3" s="20" t="s">
        <v>14</v>
      </c>
      <c r="AD3" s="21">
        <f t="shared" ref="AD3:AD7" si="17">COUNTIF(AE$10:AE1007,AC3)</f>
        <v>0</v>
      </c>
      <c r="AE3" s="22">
        <f t="shared" ref="AE3:AE7" si="18">AD3/SUM(AD$3:AD$7)</f>
        <v>0</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f t="shared" ref="AN3:AN7" si="24">AM3/SUM(AM$3:AM$7)</f>
        <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f t="shared" si="2"/>
        <v>0</v>
      </c>
      <c r="H4" s="20" t="s">
        <v>15</v>
      </c>
      <c r="I4" s="21">
        <f t="shared" si="3"/>
        <v>1</v>
      </c>
      <c r="J4" s="22">
        <f t="shared" si="4"/>
        <v>0.07142857143</v>
      </c>
      <c r="K4" s="20" t="s">
        <v>15</v>
      </c>
      <c r="L4" s="21">
        <f t="shared" si="5"/>
        <v>0</v>
      </c>
      <c r="M4" s="22">
        <f t="shared" si="6"/>
        <v>0</v>
      </c>
      <c r="N4" s="20" t="s">
        <v>15</v>
      </c>
      <c r="O4" s="21">
        <f t="shared" si="7"/>
        <v>1</v>
      </c>
      <c r="P4" s="22">
        <f t="shared" si="8"/>
        <v>0.1</v>
      </c>
      <c r="Q4" s="20" t="s">
        <v>15</v>
      </c>
      <c r="R4" s="21">
        <f t="shared" si="9"/>
        <v>0</v>
      </c>
      <c r="S4" s="22">
        <f t="shared" si="10"/>
        <v>0</v>
      </c>
      <c r="T4" s="20" t="s">
        <v>15</v>
      </c>
      <c r="U4" s="21">
        <f t="shared" si="11"/>
        <v>1</v>
      </c>
      <c r="V4" s="22">
        <f t="shared" si="12"/>
        <v>0.1428571429</v>
      </c>
      <c r="W4" s="20" t="s">
        <v>15</v>
      </c>
      <c r="X4" s="21">
        <f t="shared" si="13"/>
        <v>1</v>
      </c>
      <c r="Y4" s="22">
        <f t="shared" si="14"/>
        <v>0.2</v>
      </c>
      <c r="Z4" s="20" t="s">
        <v>15</v>
      </c>
      <c r="AA4" s="21">
        <f t="shared" si="15"/>
        <v>0</v>
      </c>
      <c r="AB4" s="22">
        <f t="shared" si="16"/>
        <v>0</v>
      </c>
      <c r="AC4" s="20" t="s">
        <v>15</v>
      </c>
      <c r="AD4" s="21">
        <f t="shared" si="17"/>
        <v>2</v>
      </c>
      <c r="AE4" s="22">
        <f t="shared" si="18"/>
        <v>0.2857142857</v>
      </c>
      <c r="AF4" s="20" t="s">
        <v>15</v>
      </c>
      <c r="AG4" s="21">
        <f t="shared" si="19"/>
        <v>1</v>
      </c>
      <c r="AH4" s="22">
        <f t="shared" si="20"/>
        <v>0.25</v>
      </c>
      <c r="AI4" s="20" t="s">
        <v>15</v>
      </c>
      <c r="AJ4" s="21">
        <f t="shared" si="21"/>
        <v>0</v>
      </c>
      <c r="AK4" s="22">
        <f t="shared" si="22"/>
        <v>0</v>
      </c>
      <c r="AL4" s="20" t="s">
        <v>15</v>
      </c>
      <c r="AM4" s="21">
        <f t="shared" si="23"/>
        <v>0</v>
      </c>
      <c r="AN4" s="22">
        <f t="shared" si="24"/>
        <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0</v>
      </c>
      <c r="G5" s="22">
        <f t="shared" si="2"/>
        <v>0</v>
      </c>
      <c r="H5" s="20" t="s">
        <v>16</v>
      </c>
      <c r="I5" s="21">
        <f t="shared" si="3"/>
        <v>7</v>
      </c>
      <c r="J5" s="22">
        <f t="shared" si="4"/>
        <v>0.5</v>
      </c>
      <c r="K5" s="20" t="s">
        <v>16</v>
      </c>
      <c r="L5" s="21">
        <f t="shared" si="5"/>
        <v>2</v>
      </c>
      <c r="M5" s="22">
        <f t="shared" si="6"/>
        <v>0.25</v>
      </c>
      <c r="N5" s="20" t="s">
        <v>16</v>
      </c>
      <c r="O5" s="21">
        <f t="shared" si="7"/>
        <v>0</v>
      </c>
      <c r="P5" s="22">
        <f t="shared" si="8"/>
        <v>0</v>
      </c>
      <c r="Q5" s="20" t="s">
        <v>16</v>
      </c>
      <c r="R5" s="21">
        <f t="shared" si="9"/>
        <v>0</v>
      </c>
      <c r="S5" s="22">
        <f t="shared" si="10"/>
        <v>0</v>
      </c>
      <c r="T5" s="20" t="s">
        <v>16</v>
      </c>
      <c r="U5" s="21">
        <f t="shared" si="11"/>
        <v>0</v>
      </c>
      <c r="V5" s="22">
        <f t="shared" si="12"/>
        <v>0</v>
      </c>
      <c r="W5" s="20" t="s">
        <v>16</v>
      </c>
      <c r="X5" s="21">
        <f t="shared" si="13"/>
        <v>0</v>
      </c>
      <c r="Y5" s="22">
        <f t="shared" si="14"/>
        <v>0</v>
      </c>
      <c r="Z5" s="20" t="s">
        <v>16</v>
      </c>
      <c r="AA5" s="21">
        <f t="shared" si="15"/>
        <v>1</v>
      </c>
      <c r="AB5" s="22">
        <f t="shared" si="16"/>
        <v>0.1</v>
      </c>
      <c r="AC5" s="20" t="s">
        <v>16</v>
      </c>
      <c r="AD5" s="21">
        <f t="shared" si="17"/>
        <v>3</v>
      </c>
      <c r="AE5" s="22">
        <f t="shared" si="18"/>
        <v>0.4285714286</v>
      </c>
      <c r="AF5" s="20" t="s">
        <v>16</v>
      </c>
      <c r="AG5" s="21">
        <f t="shared" si="19"/>
        <v>0</v>
      </c>
      <c r="AH5" s="22">
        <f t="shared" si="20"/>
        <v>0</v>
      </c>
      <c r="AI5" s="20" t="s">
        <v>16</v>
      </c>
      <c r="AJ5" s="21">
        <f t="shared" si="21"/>
        <v>1</v>
      </c>
      <c r="AK5" s="22">
        <f t="shared" si="22"/>
        <v>0.1428571429</v>
      </c>
      <c r="AL5" s="20" t="s">
        <v>16</v>
      </c>
      <c r="AM5" s="21">
        <f t="shared" si="23"/>
        <v>0</v>
      </c>
      <c r="AN5" s="22">
        <f t="shared" si="24"/>
        <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0</v>
      </c>
      <c r="G6" s="22">
        <f t="shared" si="2"/>
        <v>0</v>
      </c>
      <c r="H6" s="20" t="s">
        <v>17</v>
      </c>
      <c r="I6" s="21">
        <f t="shared" si="3"/>
        <v>2</v>
      </c>
      <c r="J6" s="22">
        <f t="shared" si="4"/>
        <v>0.1428571429</v>
      </c>
      <c r="K6" s="20" t="s">
        <v>17</v>
      </c>
      <c r="L6" s="21">
        <f t="shared" si="5"/>
        <v>4</v>
      </c>
      <c r="M6" s="22">
        <f t="shared" si="6"/>
        <v>0.5</v>
      </c>
      <c r="N6" s="20" t="s">
        <v>17</v>
      </c>
      <c r="O6" s="21">
        <f t="shared" si="7"/>
        <v>2</v>
      </c>
      <c r="P6" s="22">
        <f t="shared" si="8"/>
        <v>0.2</v>
      </c>
      <c r="Q6" s="20" t="s">
        <v>17</v>
      </c>
      <c r="R6" s="21">
        <f t="shared" si="9"/>
        <v>1</v>
      </c>
      <c r="S6" s="22">
        <f t="shared" si="10"/>
        <v>0.1</v>
      </c>
      <c r="T6" s="20" t="s">
        <v>17</v>
      </c>
      <c r="U6" s="21">
        <f t="shared" si="11"/>
        <v>4</v>
      </c>
      <c r="V6" s="22">
        <f t="shared" si="12"/>
        <v>0.5714285714</v>
      </c>
      <c r="W6" s="20" t="s">
        <v>17</v>
      </c>
      <c r="X6" s="21">
        <f t="shared" si="13"/>
        <v>3</v>
      </c>
      <c r="Y6" s="22">
        <f t="shared" si="14"/>
        <v>0.6</v>
      </c>
      <c r="Z6" s="20" t="s">
        <v>17</v>
      </c>
      <c r="AA6" s="21">
        <f t="shared" si="15"/>
        <v>3</v>
      </c>
      <c r="AB6" s="22">
        <f t="shared" si="16"/>
        <v>0.3</v>
      </c>
      <c r="AC6" s="20" t="s">
        <v>17</v>
      </c>
      <c r="AD6" s="21">
        <f t="shared" si="17"/>
        <v>2</v>
      </c>
      <c r="AE6" s="22">
        <f t="shared" si="18"/>
        <v>0.2857142857</v>
      </c>
      <c r="AF6" s="20" t="s">
        <v>17</v>
      </c>
      <c r="AG6" s="21">
        <f t="shared" si="19"/>
        <v>1</v>
      </c>
      <c r="AH6" s="22">
        <f t="shared" si="20"/>
        <v>0.25</v>
      </c>
      <c r="AI6" s="20" t="s">
        <v>17</v>
      </c>
      <c r="AJ6" s="21">
        <f t="shared" si="21"/>
        <v>4</v>
      </c>
      <c r="AK6" s="22">
        <f t="shared" si="22"/>
        <v>0.5714285714</v>
      </c>
      <c r="AL6" s="20" t="s">
        <v>17</v>
      </c>
      <c r="AM6" s="21">
        <f t="shared" si="23"/>
        <v>0</v>
      </c>
      <c r="AN6" s="22">
        <f t="shared" si="24"/>
        <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2</v>
      </c>
      <c r="G7" s="22">
        <f t="shared" si="2"/>
        <v>1</v>
      </c>
      <c r="H7" s="20" t="s">
        <v>18</v>
      </c>
      <c r="I7" s="21">
        <f t="shared" si="3"/>
        <v>4</v>
      </c>
      <c r="J7" s="22">
        <f t="shared" si="4"/>
        <v>0.2857142857</v>
      </c>
      <c r="K7" s="20" t="s">
        <v>18</v>
      </c>
      <c r="L7" s="21">
        <f t="shared" si="5"/>
        <v>2</v>
      </c>
      <c r="M7" s="22">
        <f t="shared" si="6"/>
        <v>0.25</v>
      </c>
      <c r="N7" s="20" t="s">
        <v>18</v>
      </c>
      <c r="O7" s="21">
        <f t="shared" si="7"/>
        <v>6</v>
      </c>
      <c r="P7" s="22">
        <f t="shared" si="8"/>
        <v>0.6</v>
      </c>
      <c r="Q7" s="20" t="s">
        <v>18</v>
      </c>
      <c r="R7" s="21">
        <f t="shared" si="9"/>
        <v>9</v>
      </c>
      <c r="S7" s="22">
        <f t="shared" si="10"/>
        <v>0.9</v>
      </c>
      <c r="T7" s="20" t="s">
        <v>18</v>
      </c>
      <c r="U7" s="21">
        <f t="shared" si="11"/>
        <v>2</v>
      </c>
      <c r="V7" s="22">
        <f t="shared" si="12"/>
        <v>0.2857142857</v>
      </c>
      <c r="W7" s="20" t="s">
        <v>18</v>
      </c>
      <c r="X7" s="21">
        <f t="shared" si="13"/>
        <v>1</v>
      </c>
      <c r="Y7" s="22">
        <f t="shared" si="14"/>
        <v>0.2</v>
      </c>
      <c r="Z7" s="20" t="s">
        <v>18</v>
      </c>
      <c r="AA7" s="21">
        <f t="shared" si="15"/>
        <v>4</v>
      </c>
      <c r="AB7" s="22">
        <f t="shared" si="16"/>
        <v>0.4</v>
      </c>
      <c r="AC7" s="20" t="s">
        <v>18</v>
      </c>
      <c r="AD7" s="21">
        <f t="shared" si="17"/>
        <v>0</v>
      </c>
      <c r="AE7" s="22">
        <f t="shared" si="18"/>
        <v>0</v>
      </c>
      <c r="AF7" s="20" t="s">
        <v>18</v>
      </c>
      <c r="AG7" s="21">
        <f t="shared" si="19"/>
        <v>2</v>
      </c>
      <c r="AH7" s="22">
        <f t="shared" si="20"/>
        <v>0.5</v>
      </c>
      <c r="AI7" s="20" t="s">
        <v>18</v>
      </c>
      <c r="AJ7" s="21">
        <f t="shared" si="21"/>
        <v>2</v>
      </c>
      <c r="AK7" s="22">
        <f t="shared" si="22"/>
        <v>0.2857142857</v>
      </c>
      <c r="AL7" s="20" t="s">
        <v>18</v>
      </c>
      <c r="AM7" s="21">
        <f t="shared" si="23"/>
        <v>1</v>
      </c>
      <c r="AN7" s="22">
        <f t="shared" si="24"/>
        <v>1</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2</v>
      </c>
      <c r="G8" s="25">
        <f>SUM(G6:G7)</f>
        <v>1</v>
      </c>
      <c r="H8" s="24" t="s">
        <v>13</v>
      </c>
      <c r="I8" s="5">
        <f>SUM(I3:I7)</f>
        <v>14</v>
      </c>
      <c r="J8" s="25">
        <f>SUM(J6:J7)</f>
        <v>0.4285714286</v>
      </c>
      <c r="K8" s="24" t="s">
        <v>13</v>
      </c>
      <c r="L8" s="5">
        <f>SUM(L3:L7)</f>
        <v>8</v>
      </c>
      <c r="M8" s="25">
        <f>SUM(M6:M7)</f>
        <v>0.75</v>
      </c>
      <c r="N8" s="24" t="s">
        <v>13</v>
      </c>
      <c r="O8" s="5">
        <f>SUM(O3:O7)</f>
        <v>10</v>
      </c>
      <c r="P8" s="25">
        <f>SUM(P6:P7)</f>
        <v>0.8</v>
      </c>
      <c r="Q8" s="24" t="s">
        <v>13</v>
      </c>
      <c r="R8" s="5">
        <f>SUM(R3:R7)</f>
        <v>10</v>
      </c>
      <c r="S8" s="25">
        <f>SUM(S6:S7)</f>
        <v>1</v>
      </c>
      <c r="T8" s="24" t="s">
        <v>13</v>
      </c>
      <c r="U8" s="5">
        <f>SUM(U3:U7)</f>
        <v>7</v>
      </c>
      <c r="V8" s="25">
        <f>SUM(V6:V7)</f>
        <v>0.8571428571</v>
      </c>
      <c r="W8" s="24" t="s">
        <v>13</v>
      </c>
      <c r="X8" s="5">
        <f>SUM(X3:X7)</f>
        <v>5</v>
      </c>
      <c r="Y8" s="25">
        <f>SUM(Y6:Y7)</f>
        <v>0.8</v>
      </c>
      <c r="Z8" s="24" t="s">
        <v>13</v>
      </c>
      <c r="AA8" s="5">
        <f>SUM(AA3:AA7)</f>
        <v>10</v>
      </c>
      <c r="AB8" s="25">
        <f>SUM(AB6:AB7)</f>
        <v>0.7</v>
      </c>
      <c r="AC8" s="24" t="s">
        <v>13</v>
      </c>
      <c r="AD8" s="5">
        <f>SUM(AD3:AD7)</f>
        <v>7</v>
      </c>
      <c r="AE8" s="25">
        <f>SUM(AE6:AE7)</f>
        <v>0.2857142857</v>
      </c>
      <c r="AF8" s="24" t="s">
        <v>13</v>
      </c>
      <c r="AG8" s="5">
        <f>SUM(AG3:AG7)</f>
        <v>4</v>
      </c>
      <c r="AH8" s="25">
        <f>SUM(AH6:AH7)</f>
        <v>0.75</v>
      </c>
      <c r="AI8" s="24" t="s">
        <v>13</v>
      </c>
      <c r="AJ8" s="5">
        <f>SUM(AJ3:AJ7)</f>
        <v>7</v>
      </c>
      <c r="AK8" s="25">
        <f>SUM(AK6:AK7)</f>
        <v>0.8571428571</v>
      </c>
      <c r="AL8" s="24" t="s">
        <v>13</v>
      </c>
      <c r="AM8" s="5">
        <f>SUM(AM3:AM7)</f>
        <v>1</v>
      </c>
      <c r="AN8" s="25">
        <f>SUM(AN6:AN7)</f>
        <v>1</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['deflect', 'kick', 'corner', 'shot', 'net']</v>
      </c>
      <c r="F9" s="28"/>
      <c r="G9" s="29"/>
      <c r="H9" s="27" t="str">
        <f>IF((COLUMN(H9) - 2)/3 = INT((COLUMN(H9) - 2)/3), INDIRECT("R1C"&amp;CEILING(4 + COLUMN(H9)/3,1), FALSE), "")</f>
        <v>['champion', 'final', 'leagu', 'footbal', 'win']</v>
      </c>
      <c r="I9" s="28"/>
      <c r="J9" s="29"/>
      <c r="K9" s="27" t="str">
        <f>IF((COLUMN(K9) - 2)/3 = INT((COLUMN(K9) - 2)/3), INDIRECT("R1C"&amp;CEILING(4 + COLUMN(K9)/3,1), FALSE), "")</f>
        <v>['need', 'half', 'sub', 'second', 'lead', '2nd']</v>
      </c>
      <c r="L9" s="28"/>
      <c r="M9" s="29"/>
      <c r="N9" s="27" t="str">
        <f>IF((COLUMN(N9) - 2)/3 = INT((COLUMN(N9) - 2)/3), INDIRECT("R1C"&amp;CEILING(4 + COLUMN(N9)/3,1), FALSE), "")</f>
        <v>['foul', 'refere', 'book', 'decis', 'var', 'given', 'pen', 'dive', 'ref', 'penalti']</v>
      </c>
      <c r="O9" s="28"/>
      <c r="P9" s="29"/>
      <c r="Q9" s="27" t="str">
        <f>IF((COLUMN(Q9) - 2)/3 = INT((COLUMN(Q9) - 2)/3), INDIRECT("R1C"&amp;CEILING(4 + COLUMN(Q9)/3,1), FALSE), "")</f>
        <v>['touch', 'cross', 'ball', 'pass']</v>
      </c>
      <c r="R9" s="28"/>
      <c r="S9" s="29"/>
      <c r="T9" s="27" t="str">
        <f>IF((COLUMN(T9) - 2)/3 = INT((COLUMN(T9) - 2)/3), INDIRECT("R1C"&amp;CEILING(4 + COLUMN(T9)/3,1), FALSE), "")</f>
        <v>['tackl', 'dribbl', 'yellow', 'red', 'card']</v>
      </c>
      <c r="U9" s="28"/>
      <c r="V9" s="29"/>
      <c r="W9" s="27" t="str">
        <f>IF((COLUMN(W9) - 2)/3 = INT((COLUMN(W9) - 2)/3), INDIRECT("R1C"&amp;CEILING(4 + COLUMN(W9)/3,1), FALSE), "")</f>
        <v>['gol', 'stream', 'onlin', 'free', 'reddit', 'link', 'EXCLUDED-manchest', 'ff', 'live']</v>
      </c>
      <c r="X9" s="28"/>
      <c r="Y9" s="29"/>
      <c r="Z9" s="27" t="str">
        <f>IF((COLUMN(Z9) - 2)/3 = INT((COLUMN(Z9) - 2)/3), INDIRECT("R1C"&amp;CEILING(4 + COLUMN(Z9)/3,1), FALSE), "")</f>
        <v>['goal', 'score', 'conced', 'equalis', 'offsid', 'assist']</v>
      </c>
      <c r="AA9" s="28"/>
      <c r="AB9" s="29"/>
      <c r="AC9" s="27" t="str">
        <f>IF((COLUMN(AC9) - 2)/3 = INT((COLUMN(AC9) - 2)/3), INDIRECT("R1C"&amp;CEILING(4 + COLUMN(AC9)/3,1), FALSE), "")</f>
        <v>['take', 'knee', 'player']</v>
      </c>
      <c r="AD9" s="28"/>
      <c r="AE9" s="29"/>
      <c r="AF9" s="27" t="str">
        <f>IF((COLUMN(AF9) - 2)/3 = INT((COLUMN(AF9) - 2)/3), INDIRECT("R1C"&amp;CEILING(4 + COLUMN(AF9)/3,1), FALSE), "")</f>
        <v>['keeper', 'best', 'goalkeep', 'defend', 'EXCLUDED-kepa', 'save']</v>
      </c>
      <c r="AG9" s="28"/>
      <c r="AH9" s="29"/>
      <c r="AI9" s="27" t="str">
        <f>IF((COLUMN(AI9) - 2)/3 = INT((COLUMN(AI9) - 2)/3), INDIRECT("R1C"&amp;CEILING(4 + COLUMN(AI9)/3,1), FALSE), "")</f>
        <v>['EXCLUDED-man', 'utd']</v>
      </c>
      <c r="AJ9" s="28"/>
      <c r="AK9" s="29"/>
      <c r="AL9" s="27" t="str">
        <f>IF((COLUMN(AL9) - 2)/3 = INT((COLUMN(AL9) - 2)/3), INDIRECT("R1C"&amp;CEILING(4 + COLUMN(AL9)/3,1), FALSE), "")</f>
        <v>['hit', 'post']</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NOT(ISERROR($E3:DF3))))"),3.0)</f>
        <v>3</v>
      </c>
      <c r="D10" s="26">
        <f t="shared" ref="D10:D14" si="63">$C10/$C$15</f>
        <v>0.03529411765</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NOT(ISERROR($E4:DF4))))"),7.0)</f>
        <v>7</v>
      </c>
      <c r="D11" s="26">
        <f t="shared" si="63"/>
        <v>0.08235294118</v>
      </c>
      <c r="E11" s="40">
        <f>IFERROR(__xludf.DUMMYFUNCTION("""COMPUTED_VALUE"""),44038.61822916666)</f>
        <v>44038.61823</v>
      </c>
      <c r="F11" s="5" t="str">
        <f>IFERROR(__xludf.DUMMYFUNCTION("""COMPUTED_VALUE"""),"10 minutes to kick off #LEIMUN #GGMU. Counting down to kick-off ⏳. #MUFC #LEIMUN.")</f>
        <v>10 minutes to kick off #LEIMUN #GGMU. Counting down to kick-off ⏳. #MUFC #LEIMUN.</v>
      </c>
      <c r="G11" s="5"/>
      <c r="H11" s="40">
        <f>IFERROR(__xludf.DUMMYFUNCTION("""COMPUTED_VALUE"""),44038.62195601852)</f>
        <v>44038.62196</v>
      </c>
      <c r="I11" s="5" t="str">
        <f>IFERROR(__xludf.DUMMYFUNCTION("""COMPUTED_VALUE"""),"United fans just doing the acting you know leicester arn’t winning without 4 main players🥱. Who else knows it's a must for Manchester United to win Leicester City 😍😍💪💪💪. Final preparations for #LEIMUN ✔️. We know what we need to do ✊. #MUFC. Final p"&amp;"reparation. #LEIMUN.")</f>
        <v>United fans just doing the acting you know leicester arn’t winning without 4 main players🥱. Who else knows it's a must for Manchester United to win Leicester City 😍😍💪💪💪. Final preparations for #LEIMUN ✔️. We know what we need to do ✊. #MUFC. Final preparation. #LEIMUN.</v>
      </c>
      <c r="J11" s="5"/>
      <c r="K11" s="40">
        <f>IFERROR(__xludf.DUMMYFUNCTION("""COMPUTED_VALUE"""),44038.62210648148)</f>
        <v>44038.62211</v>
      </c>
      <c r="L11" s="5" t="str">
        <f>IFERROR(__xludf.DUMMYFUNCTION("""COMPUTED_VALUE"""),"Final preparations for #LEIMUN ✔️. We know what we need to do ✊. #MUFC.")</f>
        <v>Final preparations for #LEIMUN ✔️. We know what we need to do ✊. #MUFC.</v>
      </c>
      <c r="M11" s="5"/>
      <c r="N11" s="40">
        <f>IFERROR(__xludf.DUMMYFUNCTION("""COMPUTED_VALUE"""),44038.62709490741)</f>
        <v>44038.62709</v>
      </c>
      <c r="O11" s="5" t="str">
        <f>IFERROR(__xludf.DUMMYFUNCTION("""COMPUTED_VALUE"""),"Martial what was that dive?😂😂😂. Manchester diving United. Easy o. Martial diving course he try and get the softest penalty VAR will ever give #LCFC. Hei dont dive ! #LEIMUN. That Martial dive, LOL, absolute cheats of a team, needs a yellow. Offside asi"&amp;"de what a dive by Martial.")</f>
        <v>Martial what was that dive?😂😂😂. Manchester diving United. Easy o. Martial diving course he try and get the softest penalty VAR will ever give #LCFC. Hei dont dive ! #LEIMUN. That Martial dive, LOL, absolute cheats of a team, needs a yellow. Offside aside what a dive by Martial.</v>
      </c>
      <c r="P11" s="39" t="s">
        <v>18</v>
      </c>
      <c r="Q11" s="40">
        <f>IFERROR(__xludf.DUMMYFUNCTION("""COMPUTED_VALUE"""),44038.63076388889)</f>
        <v>44038.63076</v>
      </c>
      <c r="R11" s="5" t="str">
        <f>IFERROR(__xludf.DUMMYFUNCTION("""COMPUTED_VALUE"""),"Pogba better not be stupid and lose balls today. Pogba for the love of God stop taking a billion touches. Sometimes it's ok to give the simple pass Pogba. Pogba shouldn’t start those things today. Had a very easy outlet pass out wide and gave it away need"&amp;"lessly smh.")</f>
        <v>Pogba better not be stupid and lose balls today. Pogba for the love of God stop taking a billion touches. Sometimes it's ok to give the simple pass Pogba. Pogba shouldn’t start those things today. Had a very easy outlet pass out wide and gave it away needlessly smh.</v>
      </c>
      <c r="S11" s="39" t="s">
        <v>18</v>
      </c>
      <c r="T11" s="40">
        <f>IFERROR(__xludf.DUMMYFUNCTION("""COMPUTED_VALUE"""),44038.631689814814)</f>
        <v>44038.63169</v>
      </c>
      <c r="U11" s="5" t="str">
        <f>IFERROR(__xludf.DUMMYFUNCTION("""COMPUTED_VALUE"""),"Maguire on a yellow already ffs they’re gonna target him. Thats a bad yellow maguire man, so early in the game. Maguire now at risk for the rest of the game with that yellow 🤦🏾‍♀️. Maguire playing 81 minutes against Vardy on a yellow card.")</f>
        <v>Maguire on a yellow already ffs they’re gonna target him. Thats a bad yellow maguire man, so early in the game. Maguire now at risk for the rest of the game with that yellow 🤦🏾‍♀️. Maguire playing 81 minutes against Vardy on a yellow card.</v>
      </c>
      <c r="V11" s="39" t="s">
        <v>17</v>
      </c>
      <c r="W11" s="40">
        <f>IFERROR(__xludf.DUMMYFUNCTION("""COMPUTED_VALUE"""),44038.63552083333)</f>
        <v>44038.63552</v>
      </c>
      <c r="X11" s="5" t="str">
        <f>IFERROR(__xludf.DUMMYFUNCTION("""COMPUTED_VALUE"""),"Matic I swear to the living Jesus don’t let me fucking slap u. Wallahi I hate Maguire and matic ffs 2 tall dumb fools. Matic mistake ffs!! Matic a true Jose patriot ffs. Ffs Matic! Matic has not been the same since he signed new contract ffs. What did Mat"&amp;"ic do my streams down.")</f>
        <v>Matic I swear to the living Jesus don’t let me fucking slap u. Wallahi I hate Maguire and matic ffs 2 tall dumb fools. Matic mistake ffs!! Matic a true Jose patriot ffs. Ffs Matic! Matic has not been the same since he signed new contract ffs. What did Matic do my streams down.</v>
      </c>
      <c r="Y11" s="39" t="s">
        <v>15</v>
      </c>
      <c r="Z11" s="40">
        <f>IFERROR(__xludf.DUMMYFUNCTION("""COMPUTED_VALUE"""),44038.63615740741)</f>
        <v>44038.63616</v>
      </c>
      <c r="AA11" s="5" t="str">
        <f>IFERROR(__xludf.DUMMYFUNCTION("""COMPUTED_VALUE"""),"Ndidi calm down. That shoulda been the goal. #LEIMUN. Ndidi should have scored that. Ndidi cmon man. That should’ve been a goal! Just get it under the bar there Ndidi, make the keeper make the play, don't give it to him. That was ripe to be put on goal.")</f>
        <v>Ndidi calm down. That shoulda been the goal. #LEIMUN. Ndidi should have scored that. Ndidi cmon man. That should’ve been a goal! Just get it under the bar there Ndidi, make the keeper make the play, don't give it to him. That was ripe to be put on goal.</v>
      </c>
      <c r="AB11" s="39" t="s">
        <v>18</v>
      </c>
      <c r="AC11" s="40">
        <f>IFERROR(__xludf.DUMMYFUNCTION("""COMPUTED_VALUE"""),44038.643055555556)</f>
        <v>44038.64306</v>
      </c>
      <c r="AD11" s="5" t="str">
        <f>IFERROR(__xludf.DUMMYFUNCTION("""COMPUTED_VALUE"""),"Hope vardy's knee knocked some sense into de gea. De Gea needs the season to end more than any other player. Just look De Gea again. What is wrong with my favorite manutd player? 😩😩. De Gea needs to take a year out of something. Please is it too late to"&amp;" take De gea off?")</f>
        <v>Hope vardy's knee knocked some sense into de gea. De Gea needs the season to end more than any other player. Just look De Gea again. What is wrong with my favorite manutd player? 😩😩. De Gea needs to take a year out of something. Please is it too late to take De gea off?</v>
      </c>
      <c r="AE11" s="39" t="s">
        <v>15</v>
      </c>
      <c r="AF11" s="40">
        <f>IFERROR(__xludf.DUMMYFUNCTION("""COMPUTED_VALUE"""),44038.643125)</f>
        <v>44038.64313</v>
      </c>
      <c r="AG11" s="5" t="str">
        <f>IFERROR(__xludf.DUMMYFUNCTION("""COMPUTED_VALUE"""),"WHAT A SAVE DE GEA!!!! David De Gea. Awful keeper. De Gea is a piece of shit excuse for a goalkeeper. De Gea fucking again spilling the ball seriously how can you still defend de gea Jesus fuck. #LEIMUN. De gea doing his best to lose us UCL. De gea is one"&amp;" of the worst keeper😓.")</f>
        <v>WHAT A SAVE DE GEA!!!! David De Gea. Awful keeper. De Gea is a piece of shit excuse for a goalkeeper. De Gea fucking again spilling the ball seriously how can you still defend de gea Jesus fuck. #LEIMUN. De gea doing his best to lose us UCL. De gea is one of the worst keeper😓.</v>
      </c>
      <c r="AH11" s="39" t="s">
        <v>18</v>
      </c>
      <c r="AI11" s="40">
        <f>IFERROR(__xludf.DUMMYFUNCTION("""COMPUTED_VALUE"""),44038.66332175926)</f>
        <v>44038.66332</v>
      </c>
      <c r="AJ11" s="5" t="str">
        <f>IFERROR(__xludf.DUMMYFUNCTION("""COMPUTED_VALUE"""),"I see Leicester winning Man Utd... #LEIMUN. Want Leicester to win now, they deserve it more than Utd. Leicester Vs Man Utd is totally end to to see! Come on Leicester!!! Need Leicester City to score, just want to see the Man Utd fans reaction!!! #LEIMUN.")</f>
        <v>I see Leicester winning Man Utd... #LEIMUN. Want Leicester to win now, they deserve it more than Utd. Leicester Vs Man Utd is totally end to to see! Come on Leicester!!! Need Leicester City to score, just want to see the Man Utd fans reaction!!! #LEIMUN.</v>
      </c>
      <c r="AK11" s="39" t="s">
        <v>16</v>
      </c>
      <c r="AL11" s="40">
        <f>IFERROR(__xludf.DUMMYFUNCTION("""COMPUTED_VALUE"""),44038.67973379629)</f>
        <v>44038.67973</v>
      </c>
      <c r="AM11" s="5" t="str">
        <f>IFERROR(__xludf.DUMMYFUNCTION("""COMPUTED_VALUE"""),"Vardy hits the bar. This game is heating up. Vardy hits the bar. So close😡😡😡😡. Oooooh Vardy hits the wood work. Vardy hit the bar 😭 fuck off man. Vardy has hit bar 😂. This team go kill me walahi. James Vardy hits the crossbar 😳🤬. Come on Leicester"&amp;". Hit the post so close.")</f>
        <v>Vardy hits the bar. This game is heating up. Vardy hits the bar. So close😡😡😡😡. Oooooh Vardy hits the wood work. Vardy hit the bar 😭 fuck off man. Vardy has hit bar 😂. This team go kill me walahi. James Vardy hits the crossbar 😳🤬. Come on Leicester. Hit the post so close.</v>
      </c>
      <c r="AN11" s="39" t="s">
        <v>18</v>
      </c>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NOT(ISERROR($E5:DF5))))"),14.0)</f>
        <v>14</v>
      </c>
      <c r="D12" s="26">
        <f t="shared" si="63"/>
        <v>0.1647058824</v>
      </c>
      <c r="E12" s="40">
        <f>IFERROR(__xludf.DUMMYFUNCTION("""COMPUTED_VALUE"""),44038.68069444444)</f>
        <v>44038.68069</v>
      </c>
      <c r="F12" s="5" t="str">
        <f>IFERROR(__xludf.DUMMYFUNCTION("""COMPUTED_VALUE"""),"That’s it Dave just let the ball bobble out 🤦🏽‍♂️ Leicester corner #LEIMUN #United. De Gea let that go out for a corner?😂😂. Fcuking DeGea really let that roll out for a corner! #MUFC #LEIMUN. Brandon Williams is tracking Wes Morgan on corners. Okay th"&amp;"en. #LEIMUN.")</f>
        <v>That’s it Dave just let the ball bobble out 🤦🏽‍♂️ Leicester corner #LEIMUN #United. De Gea let that go out for a corner?😂😂. Fcuking DeGea really let that roll out for a corner! #MUFC #LEIMUN. Brandon Williams is tracking Wes Morgan on corners. Okay then. #LEIMUN.</v>
      </c>
      <c r="G12" s="39" t="s">
        <v>18</v>
      </c>
      <c r="H12" s="40">
        <f>IFERROR(__xludf.DUMMYFUNCTION("""COMPUTED_VALUE"""),44038.62354166667)</f>
        <v>44038.62354</v>
      </c>
      <c r="I12" s="5" t="str">
        <f>IFERROR(__xludf.DUMMYFUNCTION("""COMPUTED_VALUE"""),"Leicester with two strikers just to win man u #LEIMUN. Hoping for Leicester v United as a draw and Wolves win🤤. Finally finally dem come reach King power 😹... Leicester city we move.. Win win 😂😂😂. Chelsea to win. Leicester to win. Do it lord🙏🏿.")</f>
        <v>Leicester with two strikers just to win man u #LEIMUN. Hoping for Leicester v United as a draw and Wolves win🤤. Finally finally dem come reach King power 😹... Leicester city we move.. Win win 😂😂😂. Chelsea to win. Leicester to win. Do it lord🙏🏿.</v>
      </c>
      <c r="J12" s="5"/>
      <c r="K12" s="40">
        <f>IFERROR(__xludf.DUMMYFUNCTION("""COMPUTED_VALUE"""),44038.632314814815)</f>
        <v>44038.63231</v>
      </c>
      <c r="L12" s="5" t="str">
        <f>IFERROR(__xludf.DUMMYFUNCTION("""COMPUTED_VALUE"""),"Hopefully Maguire gets a second yellow. Really there was no need for a tackle from Maguire. Maguire needs to hold kelechi's slippers. Maguire, dead was that, not needed at all. Harry Maguire is booked for a foul on the half way line. Maguire needs to be c"&amp;"areful #LEIMUN.")</f>
        <v>Hopefully Maguire gets a second yellow. Really there was no need for a tackle from Maguire. Maguire needs to hold kelechi's slippers. Maguire, dead was that, not needed at all. Harry Maguire is booked for a foul on the half way line. Maguire needs to be careful #LEIMUN.</v>
      </c>
      <c r="M12" s="39" t="s">
        <v>17</v>
      </c>
      <c r="N12" s="40">
        <f>IFERROR(__xludf.DUMMYFUNCTION("""COMPUTED_VALUE"""),44038.631793981476)</f>
        <v>44038.63179</v>
      </c>
      <c r="O12" s="5" t="str">
        <f>IFERROR(__xludf.DUMMYFUNCTION("""COMPUTED_VALUE"""),"Maguire lool should be a red ref. Maguire that was so so stupid. No need to be diving in like that. Lot of pressure the rest of the game now. Maguire the fridge is going to give away a penalty this game #MUFC. Maguire booked so early on and for what?")</f>
        <v>Maguire lool should be a red ref. Maguire that was so so stupid. No need to be diving in like that. Lot of pressure the rest of the game now. Maguire the fridge is going to give away a penalty this game #MUFC. Maguire booked so early on and for what?</v>
      </c>
      <c r="P12" s="39" t="s">
        <v>17</v>
      </c>
      <c r="Q12" s="40">
        <f>IFERROR(__xludf.DUMMYFUNCTION("""COMPUTED_VALUE"""),44038.63329861111)</f>
        <v>44038.6333</v>
      </c>
      <c r="R12" s="5" t="str">
        <f>IFERROR(__xludf.DUMMYFUNCTION("""COMPUTED_VALUE"""),"I don’t think rashford or pogba have actually strung a pass in the first 10mins. Wake up. How tf is Rashford’s long range passing so good post lockdown. I can’t lie that was a good ball from rashford. Rashford why you so deep hog the touch like come on ma"&amp;"n!")</f>
        <v>I don’t think rashford or pogba have actually strung a pass in the first 10mins. Wake up. How tf is Rashford’s long range passing so good post lockdown. I can’t lie that was a good ball from rashford. Rashford why you so deep hog the touch like come on man!</v>
      </c>
      <c r="S12" s="39" t="s">
        <v>18</v>
      </c>
      <c r="T12" s="40">
        <f>IFERROR(__xludf.DUMMYFUNCTION("""COMPUTED_VALUE"""),44038.645520833335)</f>
        <v>44038.64552</v>
      </c>
      <c r="U12" s="5" t="str">
        <f>IFERROR(__xludf.DUMMYFUNCTION("""COMPUTED_VALUE"""),"Maguire shirt tugging. I said earlier he’ll get a red card. Maguire forgets he is on a yellow 😂. Maguire wants us out of the champions league. He's definitely looking for a red card. Makgowa ke masepa. Maguire will see red today 🤞🏿. Maguire have a seri"&amp;"ous dribbling problem.")</f>
        <v>Maguire shirt tugging. I said earlier he’ll get a red card. Maguire forgets he is on a yellow 😂. Maguire wants us out of the champions league. He's definitely looking for a red card. Makgowa ke masepa. Maguire will see red today 🤞🏿. Maguire have a serious dribbling problem.</v>
      </c>
      <c r="V12" s="39" t="s">
        <v>18</v>
      </c>
      <c r="W12" s="40">
        <f>IFERROR(__xludf.DUMMYFUNCTION("""COMPUTED_VALUE"""),44038.68697916667)</f>
        <v>44038.68698</v>
      </c>
      <c r="X12" s="5" t="str">
        <f>IFERROR(__xludf.DUMMYFUNCTION("""COMPUTED_VALUE"""),"Real Madrid 🤝 Manchester United. Getting free pens. Bruno Fernandes with another pen we can't beat this guy ffs. Gol do Manchester United 🤦🏾‍♂️. GOAL! Leicester City 0-1 Manchester United (Fernandes pen 64). Watch #LEIMUN live on Sky Sports Main Event "&amp;"or follow it here 👇.")</f>
        <v>Real Madrid 🤝 Manchester United. Getting free pens. Bruno Fernandes with another pen we can't beat this guy ffs. Gol do Manchester United 🤦🏾‍♂️. GOAL! Leicester City 0-1 Manchester United (Fernandes pen 64). Watch #LEIMUN live on Sky Sports Main Event or follow it here 👇.</v>
      </c>
      <c r="Y12" s="39" t="s">
        <v>17</v>
      </c>
      <c r="Z12" s="40">
        <f>IFERROR(__xludf.DUMMYFUNCTION("""COMPUTED_VALUE"""),44038.64282407408)</f>
        <v>44038.64282</v>
      </c>
      <c r="AA12" s="5" t="str">
        <f>IFERROR(__xludf.DUMMYFUNCTION("""COMPUTED_VALUE"""),"De Gea ik it was offsides but that save was abysmal that could have cost us Champions League. Eeii so De Gea that ball no be offside anka what we go do...? Char the man for sit up oo. We no dey joke for here... Offside but how about that for a pass from P"&amp;"ogba to find Bruno 🔥🔥.")</f>
        <v>De Gea ik it was offsides but that save was abysmal that could have cost us Champions League. Eeii so De Gea that ball no be offside anka what we go do...? Char the man for sit up oo. We no dey joke for here... Offside but how about that for a pass from Pogba to find Bruno 🔥🔥.</v>
      </c>
      <c r="AB12" s="39" t="s">
        <v>18</v>
      </c>
      <c r="AC12" s="40">
        <f>IFERROR(__xludf.DUMMYFUNCTION("""COMPUTED_VALUE"""),44038.654594907406)</f>
        <v>44038.65459</v>
      </c>
      <c r="AD12" s="5" t="str">
        <f>IFERROR(__xludf.DUMMYFUNCTION("""COMPUTED_VALUE"""),"Rashford man you need to take that. Naa rashford’s taking the piss today. #rashford Best player ever 👏 😏😏😏. No time to carry players and Rashford has been terrible so far. Rashford isnt the player united fans think he is. Rashford is the MOST overrate"&amp;"d player in EPL.")</f>
        <v>Rashford man you need to take that. Naa rashford’s taking the piss today. #rashford Best player ever 👏 😏😏😏. No time to carry players and Rashford has been terrible so far. Rashford isnt the player united fans think he is. Rashford is the MOST overrated player in EPL.</v>
      </c>
      <c r="AE12" s="39" t="s">
        <v>16</v>
      </c>
      <c r="AF12" s="40">
        <f>IFERROR(__xludf.DUMMYFUNCTION("""COMPUTED_VALUE"""),44038.65822916667)</f>
        <v>44038.65823</v>
      </c>
      <c r="AG12" s="5" t="str">
        <f>IFERROR(__xludf.DUMMYFUNCTION("""COMPUTED_VALUE"""),"Rashford’s effort saved. What a save from Schmeichel. Greenwood will save the day. What a save! Leicester 💙. #LEIMUN EPLFinal Day. What a save ! (Leicester) Lol how did the keeper save that shot from Rashford. Great save to stop Rashford! Good save that "&amp;"from kasper #LEIMUN.")</f>
        <v>Rashford’s effort saved. What a save from Schmeichel. Greenwood will save the day. What a save! Leicester 💙. #LEIMUN EPLFinal Day. What a save ! (Leicester) Lol how did the keeper save that shot from Rashford. Great save to stop Rashford! Good save that from kasper #LEIMUN.</v>
      </c>
      <c r="AH12" s="39" t="s">
        <v>18</v>
      </c>
      <c r="AI12" s="40">
        <f>IFERROR(__xludf.DUMMYFUNCTION("""COMPUTED_VALUE"""),44038.66474537037)</f>
        <v>44038.66475</v>
      </c>
      <c r="AJ12" s="5" t="str">
        <f>IFERROR(__xludf.DUMMYFUNCTION("""COMPUTED_VALUE"""),"Battle for the top four as it stands: 3️⃣ Chelsea - 66 points. 4️⃣ Man Utd - 64 points. --------- 5️⃣ Leicester - 63 points.")</f>
        <v>Battle for the top four as it stands: 3️⃣ Chelsea - 66 points. 4️⃣ Man Utd - 64 points. --------- 5️⃣ Leicester - 63 points.</v>
      </c>
      <c r="AK12" s="39" t="s">
        <v>18</v>
      </c>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NOT(ISERROR($E6:DF6))))"),26.0)</f>
        <v>26</v>
      </c>
      <c r="D13" s="26">
        <f t="shared" si="63"/>
        <v>0.3058823529</v>
      </c>
      <c r="E13" s="40">
        <f>IFERROR(__xludf.DUMMYFUNCTION("""COMPUTED_VALUE"""),44038.69621527778)</f>
        <v>44038.69622</v>
      </c>
      <c r="F13" s="5" t="str">
        <f>IFERROR(__xludf.DUMMYFUNCTION("""COMPUTED_VALUE"""),"Score this free kick Leicester. Pogba clumsy in possession again and nearly cost utd a goal. And now a free kick in a threatening position 😭😭😭. Maguire giving away a free kick right infront of the box, in this dying minute, is everything you need to kn"&amp;"ow about him.")</f>
        <v>Score this free kick Leicester. Pogba clumsy in possession again and nearly cost utd a goal. And now a free kick in a threatening position 😭😭😭. Maguire giving away a free kick right infront of the box, in this dying minute, is everything you need to know about him.</v>
      </c>
      <c r="G13" s="39" t="s">
        <v>18</v>
      </c>
      <c r="H13" s="40">
        <f>IFERROR(__xludf.DUMMYFUNCTION("""COMPUTED_VALUE"""),44038.63984953704)</f>
        <v>44038.63985</v>
      </c>
      <c r="I13" s="5" t="str">
        <f>IFERROR(__xludf.DUMMYFUNCTION("""COMPUTED_VALUE"""),"Maguire can’t be a real footballer 😭. Well if United get champions league they won’t be getting far with Maguire CB, fraud is an understatement. See maguire. And someone genuinely believes his top 3 cb’s in the league. Maguire is gonna win us this game.")</f>
        <v>Maguire can’t be a real footballer 😭. Well if United get champions league they won’t be getting far with Maguire CB, fraud is an understatement. See maguire. And someone genuinely believes his top 3 cb’s in the league. Maguire is gonna win us this game.</v>
      </c>
      <c r="J13" s="39" t="s">
        <v>16</v>
      </c>
      <c r="K13" s="40">
        <f>IFERROR(__xludf.DUMMYFUNCTION("""COMPUTED_VALUE"""),44038.64277777778)</f>
        <v>44038.64278</v>
      </c>
      <c r="L13" s="5" t="str">
        <f>IFERROR(__xludf.DUMMYFUNCTION("""COMPUTED_VALUE"""),"Ok so you're telling me that Manchester United's second choice goalie is worse than David De Gea??? I'm considering subbing off de gea and Maguire. De gea needs to wake the fuck up. De Gea needs to be put down. #LEIMUN De Gea needs to stop playing with me"&amp;" fr.")</f>
        <v>Ok so you're telling me that Manchester United's second choice goalie is worse than David De Gea??? I'm considering subbing off de gea and Maguire. De gea needs to wake the fuck up. De Gea needs to be put down. #LEIMUN De Gea needs to stop playing with me fr.</v>
      </c>
      <c r="M13" s="39" t="s">
        <v>16</v>
      </c>
      <c r="N13" s="40">
        <f>IFERROR(__xludf.DUMMYFUNCTION("""COMPUTED_VALUE"""),44038.671006944445)</f>
        <v>44038.67101</v>
      </c>
      <c r="O13" s="5" t="str">
        <f>IFERROR(__xludf.DUMMYFUNCTION("""COMPUTED_VALUE"""),"That's a clear penalty for Martial #LEIMUN. This martial go dey dive. Why is Martial looking for a Penalty nah? Thats a diving from martial. What a pass that is from Matic into Martial. Martial goes down under pressure but never a penalty there. How’s tha"&amp;"t not a pen on martial.")</f>
        <v>That's a clear penalty for Martial #LEIMUN. This martial go dey dive. Why is Martial looking for a Penalty nah? Thats a diving from martial. What a pass that is from Matic into Martial. Martial goes down under pressure but never a penalty there. How’s that not a pen on martial.</v>
      </c>
      <c r="P13" s="39" t="s">
        <v>18</v>
      </c>
      <c r="Q13" s="40">
        <f>IFERROR(__xludf.DUMMYFUNCTION("""COMPUTED_VALUE"""),44038.63550925926)</f>
        <v>44038.63551</v>
      </c>
      <c r="R13" s="5" t="str">
        <f>IFERROR(__xludf.DUMMYFUNCTION("""COMPUTED_VALUE"""),"Terrible from the CBs and Matic again. Time and time again they are appalling at passing from the back. A chronic problem. What was that by Matic? In the box all you do is get the ball out. Matic sometimes need to look where he is passing 😳😳😳😳.")</f>
        <v>Terrible from the CBs and Matic again. Time and time again they are appalling at passing from the back. A chronic problem. What was that by Matic? In the box all you do is get the ball out. Matic sometimes need to look where he is passing 😳😳😳😳.</v>
      </c>
      <c r="S13" s="39" t="s">
        <v>18</v>
      </c>
      <c r="T13" s="40">
        <f>IFERROR(__xludf.DUMMYFUNCTION("""COMPUTED_VALUE"""),44038.67766203704)</f>
        <v>44038.67766</v>
      </c>
      <c r="U13" s="5" t="str">
        <f>IFERROR(__xludf.DUMMYFUNCTION("""COMPUTED_VALUE"""),"Keep. Fighting. Reds. 😤. #MUFC #LEIMUN.")</f>
        <v>Keep. Fighting. Reds. 😤. #MUFC #LEIMUN.</v>
      </c>
      <c r="V13" s="39" t="s">
        <v>15</v>
      </c>
      <c r="W13" s="40">
        <f>IFERROR(__xludf.DUMMYFUNCTION("""COMPUTED_VALUE"""),44038.69131944445)</f>
        <v>44038.69132</v>
      </c>
      <c r="X13" s="5" t="str">
        <f>IFERROR(__xludf.DUMMYFUNCTION("""COMPUTED_VALUE"""),"Lingard ffs. 😂😂. Lingard coming on. FFS. I think Olé doesn’t want us to qualify with ease. #LEIMUN #MUFC. Ffs was just saying we need to make subs, but having Lingard come in wasn't what I had in mind. Need Ighalo and James. Why am I seeing Jesse Lingar"&amp;"d on my screen ffs.")</f>
        <v>Lingard ffs. 😂😂. Lingard coming on. FFS. I think Olé doesn’t want us to qualify with ease. #LEIMUN #MUFC. Ffs was just saying we need to make subs, but having Lingard come in wasn't what I had in mind. Need Ighalo and James. Why am I seeing Jesse Lingard on my screen ffs.</v>
      </c>
      <c r="Y13" s="39" t="s">
        <v>17</v>
      </c>
      <c r="Z13" s="40">
        <f>IFERROR(__xludf.DUMMYFUNCTION("""COMPUTED_VALUE"""),44038.649259259255)</f>
        <v>44038.64926</v>
      </c>
      <c r="AA13" s="5" t="str">
        <f>IFERROR(__xludf.DUMMYFUNCTION("""COMPUTED_VALUE"""),"What a goal that would have been, Leicester sitting so deep. Vardy might not get golden boot unless he scores now. Aubameyang one more goal and he will be equal to Vardy's 23 goals. Auba needs one more goal to be on par with vardy? cmon lad.")</f>
        <v>What a goal that would have been, Leicester sitting so deep. Vardy might not get golden boot unless he scores now. Aubameyang one more goal and he will be equal to Vardy's 23 goals. Auba needs one more goal to be on par with vardy? cmon lad.</v>
      </c>
      <c r="AB13" s="39" t="s">
        <v>18</v>
      </c>
      <c r="AC13" s="40">
        <f>IFERROR(__xludf.DUMMYFUNCTION("""COMPUTED_VALUE"""),44038.659733796296)</f>
        <v>44038.65973</v>
      </c>
      <c r="AD13" s="5" t="str">
        <f>IFERROR(__xludf.DUMMYFUNCTION("""COMPUTED_VALUE"""),"Vardy u crackhead im on my KNEES. On my knees Leicester now. Leicester I’m on my knees. Nah Leicester need to do the job on my KNEES. Leicester... I. Am. On. My. Knees. PLEASE.")</f>
        <v>Vardy u crackhead im on my KNEES. On my knees Leicester now. Leicester I’m on my knees. Nah Leicester need to do the job on my KNEES. Leicester... I. Am. On. My. Knees. PLEASE.</v>
      </c>
      <c r="AE13" s="39" t="s">
        <v>16</v>
      </c>
      <c r="AF13" s="40">
        <f>IFERROR(__xludf.DUMMYFUNCTION("""COMPUTED_VALUE"""),44038.69010416667)</f>
        <v>44038.6901</v>
      </c>
      <c r="AG13" s="5" t="str">
        <f>IFERROR(__xludf.DUMMYFUNCTION("""COMPUTED_VALUE"""),"De gea of the best of bests. De Gea my keeper🤩🤩🤩🤩🤩. Jir nice save de gea. 75’ De Gea what a save! #LEIMUN. De Gea my best pal. Can De Gea act like he's a goalkeeper now?? 😭😭. We've made a triple-substitution 🔄. Barnes almost made an immediate impa"&amp;"ct, but De Gea saves. Lei Mun.")</f>
        <v>De gea of the best of bests. De Gea my keeper🤩🤩🤩🤩🤩. Jir nice save de gea. 75’ De Gea what a save! #LEIMUN. De Gea my best pal. Can De Gea act like he's a goalkeeper now?? 😭😭. We've made a triple-substitution 🔄. Barnes almost made an immediate impact, but De Gea saves. Lei Mun.</v>
      </c>
      <c r="AH13" s="39" t="s">
        <v>15</v>
      </c>
      <c r="AI13" s="40">
        <f>IFERROR(__xludf.DUMMYFUNCTION("""COMPUTED_VALUE"""),44038.685486111106)</f>
        <v>44038.68549</v>
      </c>
      <c r="AJ13" s="5" t="str">
        <f>IFERROR(__xludf.DUMMYFUNCTION("""COMPUTED_VALUE"""),"Utd penalty Martial foiled Evans yellow. Penalty to Utd!🙌 #LEIMUN. VAR officials have just confirmed that Man Utd will get a penalty each in both halves of the game against Leicester City today. Of course, as soon as I cheer on for Leicester.. penalty is"&amp;" given to Man Utd.")</f>
        <v>Utd penalty Martial foiled Evans yellow. Penalty to Utd!🙌 #LEIMUN. VAR officials have just confirmed that Man Utd will get a penalty each in both halves of the game against Leicester City today. Of course, as soon as I cheer on for Leicester.. penalty is given to Man Utd.</v>
      </c>
      <c r="AK13" s="39" t="s">
        <v>17</v>
      </c>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NOT(ISERROR($E7:DF7))))"),35.0)</f>
        <v>35</v>
      </c>
      <c r="D14" s="26">
        <f t="shared" si="63"/>
        <v>0.4117647059</v>
      </c>
      <c r="G14" s="5"/>
      <c r="H14" s="40">
        <f>IFERROR(__xludf.DUMMYFUNCTION("""COMPUTED_VALUE"""),44038.64333333333)</f>
        <v>44038.64333</v>
      </c>
      <c r="I14" s="5" t="str">
        <f>IFERROR(__xludf.DUMMYFUNCTION("""COMPUTED_VALUE"""),"De Gea needs a long break away from football. De gea must not like champions league 😂😂😂😂😂😂😂😂😂😂😂😂😂😂😂😂😂😐😐😐😐😐😐😂😂😂😂😂😂😂😂😂😂😂😂😂😂. De Gea and Maguire are both absolute garbage footballers. Man Utd playing with Leicester so we "&amp;"just draw😂. Wolves we only need you to win k3k3😂.")</f>
        <v>De Gea needs a long break away from football. De gea must not like champions league 😂😂😂😂😂😂😂😂😂😂😂😂😂😂😂😂😂😐😐😐😐😐😐😂😂😂😂😂😂😂😂😂😂😂😂😂😂. De Gea and Maguire are both absolute garbage footballers. Man Utd playing with Leicester so we just draw😂. Wolves we only need you to win k3k3😂.</v>
      </c>
      <c r="J14" s="39" t="s">
        <v>16</v>
      </c>
      <c r="K14" s="40">
        <f>IFERROR(__xludf.DUMMYFUNCTION("""COMPUTED_VALUE"""),44038.64681712963)</f>
        <v>44038.64682</v>
      </c>
      <c r="L14" s="5" t="str">
        <f>IFERROR(__xludf.DUMMYFUNCTION("""COMPUTED_VALUE"""),"Leicester us playing us half field. Get McTominay or Fred in for Matic in the 2nd half. Maguire should better give Iheanacho his slippers at half time. Greenwood's had half the pitch to himself for most of this half. Not moving the ball quick enough. #MUF"&amp;"C.")</f>
        <v>Leicester us playing us half field. Get McTominay or Fred in for Matic in the 2nd half. Maguire should better give Iheanacho his slippers at half time. Greenwood's had half the pitch to himself for most of this half. Not moving the ball quick enough. #MUFC.</v>
      </c>
      <c r="M14" s="39" t="s">
        <v>16</v>
      </c>
      <c r="N14" s="40">
        <f>IFERROR(__xludf.DUMMYFUNCTION("""COMPUTED_VALUE"""),44038.68554398148)</f>
        <v>44038.68554</v>
      </c>
      <c r="O14" s="5" t="str">
        <f>IFERROR(__xludf.DUMMYFUNCTION("""COMPUTED_VALUE"""),"Martial brought down in the area by Evans. Penalty for #MUFC. Penalty!! Thought martial would have got through there. It's not Manchester United if there is no penalty. I just hope that Leicester score before Man Utd get a penalty.")</f>
        <v>Martial brought down in the area by Evans. Penalty for #MUFC. Penalty!! Thought martial would have got through there. It's not Manchester United if there is no penalty. I just hope that Leicester score before Man Utd get a penalty.</v>
      </c>
      <c r="P14" s="39" t="s">
        <v>18</v>
      </c>
      <c r="Q14" s="40">
        <f>IFERROR(__xludf.DUMMYFUNCTION("""COMPUTED_VALUE"""),44038.64074074074)</f>
        <v>44038.64074</v>
      </c>
      <c r="R14" s="5" t="str">
        <f>IFERROR(__xludf.DUMMYFUNCTION("""COMPUTED_VALUE"""),"Martial must always take a first touch, never hits the ball immediately. One touch curl that Martial 🤦🏻‍♂️. #LEIMUN my heart everytime maguire touches the ball.. That touch from Greenwood 😳 #LEIMUN. Harry Maguire there, with the touch of Chris Grayling"&amp;" and a government contract.")</f>
        <v>Martial must always take a first touch, never hits the ball immediately. One touch curl that Martial 🤦🏻‍♂️. #LEIMUN my heart everytime maguire touches the ball.. That touch from Greenwood 😳 #LEIMUN. Harry Maguire there, with the touch of Chris Grayling and a government contract.</v>
      </c>
      <c r="S14" s="39" t="s">
        <v>18</v>
      </c>
      <c r="T14" s="40">
        <f>IFERROR(__xludf.DUMMYFUNCTION("""COMPUTED_VALUE"""),44038.68199074074)</f>
        <v>44038.68199</v>
      </c>
      <c r="U14" s="5" t="str">
        <f>IFERROR(__xludf.DUMMYFUNCTION("""COMPUTED_VALUE"""),"Lindelof and Maguire on yellow cards. Last 30 to go. Nervy. #MUFC. United has no game plan. 2 cb on yellows. The pressure is too much. #LEIMUN. Both CBs on yellow cards against Jamie Vardy 👏👏. The two center halves now on yellow card. These guys are som"&amp;"ething else. #LEIMUN.")</f>
        <v>Lindelof and Maguire on yellow cards. Last 30 to go. Nervy. #MUFC. United has no game plan. 2 cb on yellows. The pressure is too much. #LEIMUN. Both CBs on yellow cards against Jamie Vardy 👏👏. The two center halves now on yellow card. These guys are something else. #LEIMUN.</v>
      </c>
      <c r="V14" s="39" t="s">
        <v>17</v>
      </c>
      <c r="W14" s="40">
        <f>IFERROR(__xludf.DUMMYFUNCTION("""COMPUTED_VALUE"""),44038.696111111116)</f>
        <v>44038.69611</v>
      </c>
      <c r="X14" s="5" t="str">
        <f>IFERROR(__xludf.DUMMYFUNCTION("""COMPUTED_VALUE"""),"Jamie Vardy should score this free kick and it is game on! The free kick conceded cause of playing out from the back. Just kick it forward!! #LEIMUN. This is like the hundredth free kick for Leicester😭😭😭. Free kick for Leicester in a very dangerous are"&amp;"a...👀.")</f>
        <v>Jamie Vardy should score this free kick and it is game on! The free kick conceded cause of playing out from the back. Just kick it forward!! #LEIMUN. This is like the hundredth free kick for Leicester😭😭😭. Free kick for Leicester in a very dangerous area...👀.</v>
      </c>
      <c r="Y14" s="39" t="s">
        <v>18</v>
      </c>
      <c r="Z14" s="40">
        <f>IFERROR(__xludf.DUMMYFUNCTION("""COMPUTED_VALUE"""),44038.6503125)</f>
        <v>44038.65031</v>
      </c>
      <c r="AA14" s="5" t="str">
        <f>IFERROR(__xludf.DUMMYFUNCTION("""COMPUTED_VALUE"""),"When Auba scores one more goal and then Vardy does. Aubameyang a goal behind Vardy in terms of the golden boot. The way Watford are defending him winning it is a realistic possibility. Aubameyang go do then Vardy just go start dey score is this la? United"&amp;" Nyame🙏🏻.")</f>
        <v>When Auba scores one more goal and then Vardy does. Aubameyang a goal behind Vardy in terms of the golden boot. The way Watford are defending him winning it is a realistic possibility. Aubameyang go do then Vardy just go start dey score is this la? United Nyame🙏🏻.</v>
      </c>
      <c r="AB14" s="39" t="s">
        <v>14</v>
      </c>
      <c r="AC14" s="40">
        <f>IFERROR(__xludf.DUMMYFUNCTION("""COMPUTED_VALUE"""),44038.67524305556)</f>
        <v>44038.67524</v>
      </c>
      <c r="AD14" s="5" t="str">
        <f>IFERROR(__xludf.DUMMYFUNCTION("""COMPUTED_VALUE"""),"At this point I’m taking Bruno off and pushing Pogba forward. Take off Bruno and Matic. Bring on Fred McTominay and push Pogba forward.")</f>
        <v>At this point I’m taking Bruno off and pushing Pogba forward. Take off Bruno and Matic. Bring on Fred McTominay and push Pogba forward.</v>
      </c>
      <c r="AE14" s="39" t="s">
        <v>16</v>
      </c>
      <c r="AF14" s="40">
        <f>IFERROR(__xludf.DUMMYFUNCTION("""COMPUTED_VALUE"""),44038.70422453704)</f>
        <v>44038.70422</v>
      </c>
      <c r="AG14" s="5" t="str">
        <f>IFERROR(__xludf.DUMMYFUNCTION("""COMPUTED_VALUE"""),"RED CARD! Leicester City defender Jonny Evans (90+4 mins) Penalty and a red card, this is undoubtedly Jonny Evans' best ever performance for United.")</f>
        <v>RED CARD! Leicester City defender Jonny Evans (90+4 mins) Penalty and a red card, this is undoubtedly Jonny Evans' best ever performance for United.</v>
      </c>
      <c r="AH14" s="39" t="s">
        <v>17</v>
      </c>
      <c r="AI14" s="40">
        <f>IFERROR(__xludf.DUMMYFUNCTION("""COMPUTED_VALUE"""),44038.68753472222)</f>
        <v>44038.68753</v>
      </c>
      <c r="AJ14" s="5" t="str">
        <f>IFERROR(__xludf.DUMMYFUNCTION("""COMPUTED_VALUE"""),"Pen confirmed, Fernandes scores. Man Utd lead at Leicester 1-0. Bruno Fernandes going to send Man Utd to the Champions League?? 1-0 Man Utd. Man utd penalty? fernandes takes it? never seen it befors. Goal - FERNANDES. Assist - MARTIAL. Leicester 0-1 Man U"&amp;"td (71 mins) #FPL #LEIMUN.")</f>
        <v>Pen confirmed, Fernandes scores. Man Utd lead at Leicester 1-0. Bruno Fernandes going to send Man Utd to the Champions League?? 1-0 Man Utd. Man utd penalty? fernandes takes it? never seen it befors. Goal - FERNANDES. Assist - MARTIAL. Leicester 0-1 Man Utd (71 mins) #FPL #LEIMUN.</v>
      </c>
      <c r="AK14" s="39" t="s">
        <v>17</v>
      </c>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85</v>
      </c>
      <c r="D15" s="26">
        <f t="shared" si="64"/>
        <v>1</v>
      </c>
      <c r="G15" s="5"/>
      <c r="H15" s="40">
        <f>IFERROR(__xludf.DUMMYFUNCTION("""COMPUTED_VALUE"""),44038.64732638889)</f>
        <v>44038.64733</v>
      </c>
      <c r="I15" s="5" t="str">
        <f>IFERROR(__xludf.DUMMYFUNCTION("""COMPUTED_VALUE"""),"This final day #LEIMUN Champions League ""playoff"" is like watching 2 counter attack teams with no midfield. I need Pogba to start playing like a kaffir so we can win this game. Man United doesn't look like it HAS to win. #LEIMUN. These man playing like "&amp;"it's Sunday league #LEIMUN.")</f>
        <v>This final day #LEIMUN Champions League "playoff" is like watching 2 counter attack teams with no midfield. I need Pogba to start playing like a kaffir so we can win this game. Man United doesn't look like it HAS to win. #LEIMUN. These man playing like it's Sunday league #LEIMUN.</v>
      </c>
      <c r="J15" s="39" t="s">
        <v>18</v>
      </c>
      <c r="K15" s="40">
        <f>IFERROR(__xludf.DUMMYFUNCTION("""COMPUTED_VALUE"""),44038.65038194445)</f>
        <v>44038.65038</v>
      </c>
      <c r="L15" s="5" t="str">
        <f>IFERROR(__xludf.DUMMYFUNCTION("""COMPUTED_VALUE"""),"Aubameyang gets his second and arsenal 3rd leaving him one goal behind vardy #ARSWAT. Aubameyang needs just 1 goal to level up with Vardy..... Crazy day in the epl mhen. Don't let Vardy find out Aubameyang needs one more goal to match him for the Golden b"&amp;"oot.")</f>
        <v>Aubameyang gets his second and arsenal 3rd leaving him one goal behind vardy #ARSWAT. Aubameyang needs just 1 goal to level up with Vardy..... Crazy day in the epl mhen. Don't let Vardy find out Aubameyang needs one more goal to match him for the Golden boot.</v>
      </c>
      <c r="M15" s="39" t="s">
        <v>18</v>
      </c>
      <c r="N15" s="40">
        <f>IFERROR(__xludf.DUMMYFUNCTION("""COMPUTED_VALUE"""),44038.688993055555)</f>
        <v>44038.68899</v>
      </c>
      <c r="O15" s="5" t="str">
        <f>IFERROR(__xludf.DUMMYFUNCTION("""COMPUTED_VALUE"""),"Manchester United were just awarded their 14th penalty of the season. #Arsenal got their 3rd today. 20 penalties in all competitions. Record 14th in the EPL. Penchester United. #LEIMUN. That was Manchester United's 1⃣4⃣th penalty of the season, a new Prem"&amp;"ier League record...👀.")</f>
        <v>Manchester United were just awarded their 14th penalty of the season. #Arsenal got their 3rd today. 20 penalties in all competitions. Record 14th in the EPL. Penchester United. #LEIMUN. That was Manchester United's 1⃣4⃣th penalty of the season, a new Premier League record...👀.</v>
      </c>
      <c r="P15" s="39" t="s">
        <v>18</v>
      </c>
      <c r="Q15" s="40">
        <f>IFERROR(__xludf.DUMMYFUNCTION("""COMPUTED_VALUE"""),44038.64497685185)</f>
        <v>44038.64498</v>
      </c>
      <c r="R15" s="5" t="str">
        <f>IFERROR(__xludf.DUMMYFUNCTION("""COMPUTED_VALUE"""),"Literally don't understand it. Every time Rashford gets the ball he's almost at left back. Really need a player that can actually play ball to come and bench this useless Rashford. What’s with Rashford and these get-in behind passes, just run at them man "&amp;"please !!!")</f>
        <v>Literally don't understand it. Every time Rashford gets the ball he's almost at left back. Really need a player that can actually play ball to come and bench this useless Rashford. What’s with Rashford and these get-in behind passes, just run at them man please !!!</v>
      </c>
      <c r="S15" s="39" t="s">
        <v>18</v>
      </c>
      <c r="T15" s="40">
        <f>IFERROR(__xludf.DUMMYFUNCTION("""COMPUTED_VALUE"""),44038.68574074074)</f>
        <v>44038.68574</v>
      </c>
      <c r="U15" s="5" t="str">
        <f>IFERROR(__xludf.DUMMYFUNCTION("""COMPUTED_VALUE"""),"Utd penalty Martial foiled Evans yellow. Jonny Evans you're still a red!!!!!! Cmon!!! Jonny Evans you know you can't tackle in the box vs United. You should know better. That’s a great tackle by Jonny Evans. No chance VAR overturns it for those rats. 🎶 J"&amp;"onny Evans is a Red 🎶.")</f>
        <v>Utd penalty Martial foiled Evans yellow. Jonny Evans you're still a red!!!!!! Cmon!!! Jonny Evans you know you can't tackle in the box vs United. You should know better. That’s a great tackle by Jonny Evans. No chance VAR overturns it for those rats. 🎶 Jonny Evans is a Red 🎶.</v>
      </c>
      <c r="V15" s="39" t="s">
        <v>17</v>
      </c>
      <c r="W15" s="40">
        <f>IFERROR(__xludf.DUMMYFUNCTION("""COMPUTED_VALUE"""),44038.70609953704)</f>
        <v>44038.7061</v>
      </c>
      <c r="X15" s="5" t="str">
        <f>IFERROR(__xludf.DUMMYFUNCTION("""COMPUTED_VALUE"""),"Mds o lingard fez gol. Goooooooooooooooooollllll do United. Lingard 🔥. Lord lingard gol siot. Gooooool Lingard pone el 0-2 #mufc. How has lingard scored ffs. GOAL! Leicester City 0-2 Manchester United (Lingard 90+8). Watch #LEIMUN live on Sky Sports Main"&amp;" Event or follow it here 👇.")</f>
        <v>Mds o lingard fez gol. Goooooooooooooooooollllll do United. Lingard 🔥. Lord lingard gol siot. Gooooool Lingard pone el 0-2 #mufc. How has lingard scored ffs. GOAL! Leicester City 0-2 Manchester United (Lingard 90+8). Watch #LEIMUN live on Sky Sports Main Event or follow it here 👇.</v>
      </c>
      <c r="Y15" s="39" t="s">
        <v>17</v>
      </c>
      <c r="Z15" s="40">
        <f>IFERROR(__xludf.DUMMYFUNCTION("""COMPUTED_VALUE"""),44038.654282407406)</f>
        <v>44038.65428</v>
      </c>
      <c r="AA15" s="5" t="str">
        <f>IFERROR(__xludf.DUMMYFUNCTION("""COMPUTED_VALUE"""),"That would have been a goal if it was Greenwood. Damn rashford. Rashford letting down Pogba there. A beautiful assist wasted hm. Thought that was a certain goal for rashford then. Rashford come on man you have to score that 🤦🏾‍♂️.")</f>
        <v>That would have been a goal if it was Greenwood. Damn rashford. Rashford letting down Pogba there. A beautiful assist wasted hm. Thought that was a certain goal for rashford then. Rashford come on man you have to score that 🤦🏾‍♂️.</v>
      </c>
      <c r="AB15" s="39" t="s">
        <v>18</v>
      </c>
      <c r="AC15" s="40">
        <f>IFERROR(__xludf.DUMMYFUNCTION("""COMPUTED_VALUE"""),44038.687418981484)</f>
        <v>44038.68742</v>
      </c>
      <c r="AD15" s="5" t="str">
        <f>IFERROR(__xludf.DUMMYFUNCTION("""COMPUTED_VALUE"""),"I see why rivals are always mad. Bruno played nothing in this game and got rewarded. Martial should be taking that. I've never seen a player have so many awful performances and still manages to get a goal from a penalty in the end like Bruno Fernandes 😭.")</f>
        <v>I see why rivals are always mad. Bruno played nothing in this game and got rewarded. Martial should be taking that. I've never seen a player have so many awful performances and still manages to get a goal from a penalty in the end like Bruno Fernandes 😭.</v>
      </c>
      <c r="AE15" s="39" t="s">
        <v>17</v>
      </c>
      <c r="AH15" s="5"/>
      <c r="AI15" s="40">
        <f>IFERROR(__xludf.DUMMYFUNCTION("""COMPUTED_VALUE"""),44038.689675925925)</f>
        <v>44038.68968</v>
      </c>
      <c r="AJ15" s="5" t="str">
        <f>IFERROR(__xludf.DUMMYFUNCTION("""COMPUTED_VALUE"""),"Leicester were 14 points ahead of Man Utd at one point, huge bottlers this season 👎🏻. Rodgers blowing a 15 point lead to Utd is ridiculous. Battle for the top four as it stands: 3️⃣ Man Utd - 66 points. 4️⃣ Chelsea - 66 points. --------- 5️⃣ Leicester -"&amp;" 62 points.")</f>
        <v>Leicester were 14 points ahead of Man Utd at one point, huge bottlers this season 👎🏻. Rodgers blowing a 15 point lead to Utd is ridiculous. Battle for the top four as it stands: 3️⃣ Man Utd - 66 points. 4️⃣ Chelsea - 66 points. --------- 5️⃣ Leicester - 62 points.</v>
      </c>
      <c r="AK15" s="39" t="s">
        <v>18</v>
      </c>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NOT(ISERROR($E8:DF8))))"),0.769047619047619)</f>
        <v>0.769047619</v>
      </c>
      <c r="G16" s="5"/>
      <c r="H16" s="40">
        <f>IFERROR(__xludf.DUMMYFUNCTION("""COMPUTED_VALUE"""),44038.65491898148)</f>
        <v>44038.65492</v>
      </c>
      <c r="I16" s="5" t="str">
        <f>IFERROR(__xludf.DUMMYFUNCTION("""COMPUTED_VALUE"""),"It’s like this doctorate is making Rashford a useless footballer oh! #LEIMUN. Rashford should be helping kids, at what he is good than playing football #mufc. You look at Bruno and wonder if it's the same football that troubles Rashford.")</f>
        <v>It’s like this doctorate is making Rashford a useless footballer oh! #LEIMUN. Rashford should be helping kids, at what he is good than playing football #mufc. You look at Bruno and wonder if it's the same football that troubles Rashford.</v>
      </c>
      <c r="J16" s="39" t="s">
        <v>16</v>
      </c>
      <c r="K16" s="40">
        <f>IFERROR(__xludf.DUMMYFUNCTION("""COMPUTED_VALUE"""),44038.659212962964)</f>
        <v>44038.65921</v>
      </c>
      <c r="L16" s="5" t="str">
        <f>IFERROR(__xludf.DUMMYFUNCTION("""COMPUTED_VALUE"""),"Need to push from the wings and create but we end up giving Pogba and Fernandes space in midfield.. United applied some pressure towards the end of the half, but the first 45 ends goalless. #MUFC #LEIMUN Chevrolet.")</f>
        <v>Need to push from the wings and create but we end up giving Pogba and Fernandes space in midfield.. United applied some pressure towards the end of the half, but the first 45 ends goalless. #MUFC #LEIMUN Chevrolet.</v>
      </c>
      <c r="M16" s="39" t="s">
        <v>17</v>
      </c>
      <c r="N16" s="40">
        <f>IFERROR(__xludf.DUMMYFUNCTION("""COMPUTED_VALUE"""),44038.69393518519)</f>
        <v>44038.69394</v>
      </c>
      <c r="O16" s="5" t="str">
        <f>IFERROR(__xludf.DUMMYFUNCTION("""COMPUTED_VALUE"""),"Does anyone love scoring penalties more than Bruno Fernandes?.")</f>
        <v>Does anyone love scoring penalties more than Bruno Fernandes?.</v>
      </c>
      <c r="P16" s="39" t="s">
        <v>15</v>
      </c>
      <c r="Q16" s="40">
        <f>IFERROR(__xludf.DUMMYFUNCTION("""COMPUTED_VALUE"""),44038.64778935185)</f>
        <v>44038.64779</v>
      </c>
      <c r="R16" s="5" t="str">
        <f>IFERROR(__xludf.DUMMYFUNCTION("""COMPUTED_VALUE"""),"Bruno scores off a lovely Pogba pass, but he’s offsides. Fuck sake Bruno stay on great ball from pogba tho. Lovely ball from Pogba over the top, and Bruno puts in the net, but he's a mile offside. Signs of life at least. What a ball from Pogba 👏🏻 unluck"&amp;"y it was offside from bruno.")</f>
        <v>Bruno scores off a lovely Pogba pass, but he’s offsides. Fuck sake Bruno stay on great ball from pogba tho. Lovely ball from Pogba over the top, and Bruno puts in the net, but he's a mile offside. Signs of life at least. What a ball from Pogba 👏🏻 unlucky it was offside from bruno.</v>
      </c>
      <c r="S16" s="39" t="s">
        <v>17</v>
      </c>
      <c r="T16" s="40">
        <f>IFERROR(__xludf.DUMMYFUNCTION("""COMPUTED_VALUE"""),44038.695868055554)</f>
        <v>44038.69587</v>
      </c>
      <c r="U16" s="5" t="str">
        <f>IFERROR(__xludf.DUMMYFUNCTION("""COMPUTED_VALUE"""),"If that’s a foul it’s another yellow for Maguire. Three slowest United players Maguire, Lingard and Matic on a yellow now. How has Maguire escaped a 2nd yellow there?? One of those yellow card unless it's a second yellow tackles by Maguire...")</f>
        <v>If that’s a foul it’s another yellow for Maguire. Three slowest United players Maguire, Lingard and Matic on a yellow now. How has Maguire escaped a 2nd yellow there?? One of those yellow card unless it's a second yellow tackles by Maguire...</v>
      </c>
      <c r="V16" s="39" t="s">
        <v>18</v>
      </c>
      <c r="Y16" s="5"/>
      <c r="Z16" s="40">
        <f>IFERROR(__xludf.DUMMYFUNCTION("""COMPUTED_VALUE"""),44038.66373842592)</f>
        <v>44038.66374</v>
      </c>
      <c r="AA16" s="5" t="str">
        <f>IFERROR(__xludf.DUMMYFUNCTION("""COMPUTED_VALUE"""),"Come on Leicester!!! Need Leicester City to score, just want to see the Man Utd fans reaction!!! #LEIMUN.")</f>
        <v>Come on Leicester!!! Need Leicester City to score, just want to see the Man Utd fans reaction!!! #LEIMUN.</v>
      </c>
      <c r="AB16" s="39" t="s">
        <v>16</v>
      </c>
      <c r="AC16" s="40">
        <f>IFERROR(__xludf.DUMMYFUNCTION("""COMPUTED_VALUE"""),44038.69081018519)</f>
        <v>44038.69081</v>
      </c>
      <c r="AD16" s="5" t="str">
        <f>IFERROR(__xludf.DUMMYFUNCTION("""COMPUTED_VALUE"""),"Bruno Fernandes be like..""I Know a spot"" then he takes you to the penalty spot 🤡. #LEIMUN.")</f>
        <v>Bruno Fernandes be like.."I Know a spot" then he takes you to the penalty spot 🤡. #LEIMUN.</v>
      </c>
      <c r="AE16" s="39" t="s">
        <v>15</v>
      </c>
      <c r="AH16" s="5"/>
      <c r="AI16" s="40">
        <f>IFERROR(__xludf.DUMMYFUNCTION("""COMPUTED_VALUE"""),44038.70379629629)</f>
        <v>44038.7038</v>
      </c>
      <c r="AJ16" s="5" t="str">
        <f>IFERROR(__xludf.DUMMYFUNCTION("""COMPUTED_VALUE"""),"Jonny Evans doing more for Utd than Maguire. Jonny Evans Utd spy😂. Red Card Evans How Much Did Man Utd Pay Him.. We Paid Him Very Well I Think😂🤣#LEIMUN. RED CARD Jonny Evans is sent off for a dangerous tackle on Scott McTominay. Leicester 0-1 Man Utd ("&amp;"90+4 mins) #LEIMUN.")</f>
        <v>Jonny Evans doing more for Utd than Maguire. Jonny Evans Utd spy😂. Red Card Evans How Much Did Man Utd Pay Him.. We Paid Him Very Well I Think😂🤣#LEIMUN. RED CARD Jonny Evans is sent off for a dangerous tackle on Scott McTominay. Leicester 0-1 Man Utd (90+4 mins) #LEIMUN.</v>
      </c>
      <c r="AK16" s="39" t="s">
        <v>17</v>
      </c>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0.7176470588</v>
      </c>
      <c r="G17" s="5"/>
      <c r="H17" s="40">
        <f>IFERROR(__xludf.DUMMYFUNCTION("""COMPUTED_VALUE"""),44038.6565162037)</f>
        <v>44038.65652</v>
      </c>
      <c r="I17" s="5" t="str">
        <f>IFERROR(__xludf.DUMMYFUNCTION("""COMPUTED_VALUE"""),"Rashy ain’t really been at it since football returned tbh! Don’t need stats for this one I’m afraid! #LEIMUN.")</f>
        <v>Rashy ain’t really been at it since football returned tbh! Don’t need stats for this one I’m afraid! #LEIMUN.</v>
      </c>
      <c r="J17" s="39" t="s">
        <v>16</v>
      </c>
      <c r="K17" s="40">
        <f>IFERROR(__xludf.DUMMYFUNCTION("""COMPUTED_VALUE"""),44038.678240740745)</f>
        <v>44038.67824</v>
      </c>
      <c r="L17" s="5" t="str">
        <f>IFERROR(__xludf.DUMMYFUNCTION("""COMPUTED_VALUE"""),"Ole should sub Rashford biko! Rashford should be subbed off rn. Sub off Rashford for Christ sake. Ridiculous sub from Rodgers. Fuck Ayoze Perez being subbed 😭😭😭. Iheanacho shouldn't have been subbed. Sub Ndidi too🙂 #LEIMUN. A strange sub if your hunti"&amp;"ng’s goal #LEIMUN.")</f>
        <v>Ole should sub Rashford biko! Rashford should be subbed off rn. Sub off Rashford for Christ sake. Ridiculous sub from Rodgers. Fuck Ayoze Perez being subbed 😭😭😭. Iheanacho shouldn't have been subbed. Sub Ndidi too🙂 #LEIMUN. A strange sub if your hunting’s goal #LEIMUN.</v>
      </c>
      <c r="M17" s="39" t="s">
        <v>17</v>
      </c>
      <c r="N17" s="40">
        <f>IFERROR(__xludf.DUMMYFUNCTION("""COMPUTED_VALUE"""),44038.696284722224)</f>
        <v>44038.69628</v>
      </c>
      <c r="O17" s="5" t="str">
        <f>IFERROR(__xludf.DUMMYFUNCTION("""COMPUTED_VALUE"""),"What kind of a stupid foul are you conceding Maguire? Fuck! The penalty sef for be two cuz ebi two players way foul Martial😁😂😂. Atkinson is so shit, Vardy doing his usual and playing for a foul and the ref falls for it #MUFC. Maguire 🤝 foul 56 #LEIMUN"&amp;".")</f>
        <v>What kind of a stupid foul are you conceding Maguire? Fuck! The penalty sef for be two cuz ebi two players way foul Martial😁😂😂. Atkinson is so shit, Vardy doing his usual and playing for a foul and the ref falls for it #MUFC. Maguire 🤝 foul 56 #LEIMUN.</v>
      </c>
      <c r="P17" s="39" t="s">
        <v>18</v>
      </c>
      <c r="Q17" s="40">
        <f>IFERROR(__xludf.DUMMYFUNCTION("""COMPUTED_VALUE"""),44038.65482638888)</f>
        <v>44038.65483</v>
      </c>
      <c r="R17" s="5" t="str">
        <f>IFERROR(__xludf.DUMMYFUNCTION("""COMPUTED_VALUE"""),"Beautiful ball from pogba but as usual rashford 😡😡😡. What a beautiful pass from pogba and a good touch from rashy🔥. That’s an out of this world pass by Pogba. What a ball from Pogba he’s moving different the last 15-20. Pogba is the best passer of the"&amp;" ball on this man u team.")</f>
        <v>Beautiful ball from pogba but as usual rashford 😡😡😡. What a beautiful pass from pogba and a good touch from rashy🔥. That’s an out of this world pass by Pogba. What a ball from Pogba he’s moving different the last 15-20. Pogba is the best passer of the ball on this man u team.</v>
      </c>
      <c r="S17" s="39" t="s">
        <v>18</v>
      </c>
      <c r="T17" s="40">
        <f>IFERROR(__xludf.DUMMYFUNCTION("""COMPUTED_VALUE"""),44038.702881944446)</f>
        <v>44038.70288</v>
      </c>
      <c r="U17" s="5" t="str">
        <f>IFERROR(__xludf.DUMMYFUNCTION("""COMPUTED_VALUE"""),"Straight red for Evans! Riley not happy with that on McTominay, and it looked nasty in real time. Expected a red for maguire but where did Evans come from 😂. That red card was a long time coming for Leicester. Kade nisiqalile. Jonny Evans is a red and he"&amp;" loves get a red!!")</f>
        <v>Straight red for Evans! Riley not happy with that on McTominay, and it looked nasty in real time. Expected a red for maguire but where did Evans come from 😂. That red card was a long time coming for Leicester. Kade nisiqalile. Jonny Evans is a red and he loves get a red!!</v>
      </c>
      <c r="V17" s="39" t="s">
        <v>17</v>
      </c>
      <c r="Y17" s="5"/>
      <c r="Z17" s="40">
        <f>IFERROR(__xludf.DUMMYFUNCTION("""COMPUTED_VALUE"""),44038.686631944445)</f>
        <v>44038.68663</v>
      </c>
      <c r="AA17" s="5" t="str">
        <f>IFERROR(__xludf.DUMMYFUNCTION("""COMPUTED_VALUE"""),"Brunoooo. And he scores. Leicester 0-1 United.. #LEIMUN. GOOAAAAALLLLLL!!! Bruno Fernandes puts us ahead with a big, big goal from the spot! #MUFC #LEIMUN. 68 mins. Martial wins a penalty conceded by Evans and Morgan. VAR big decision. Bruno Fernandes 1-0"&amp;". #LEIMUN.")</f>
        <v>Brunoooo. And he scores. Leicester 0-1 United.. #LEIMUN. GOOAAAAALLLLLL!!! Bruno Fernandes puts us ahead with a big, big goal from the spot! #MUFC #LEIMUN. 68 mins. Martial wins a penalty conceded by Evans and Morgan. VAR big decision. Bruno Fernandes 1-0. #LEIMUN.</v>
      </c>
      <c r="AB17" s="39" t="s">
        <v>17</v>
      </c>
      <c r="AC17" s="40">
        <f>IFERROR(__xludf.DUMMYFUNCTION("""COMPUTED_VALUE"""),44038.70375)</f>
        <v>44038.70375</v>
      </c>
      <c r="AD17" s="5" t="str">
        <f>IFERROR(__xludf.DUMMYFUNCTION("""COMPUTED_VALUE"""),"Johnny Evans is my new favourite players... Mctominay is a cunt. Johnny Evans is our guy.....a great player indeed #LEIMUN. Now Evans taking his anger on McTominay 😡. Johnny Evans red card? A true Manchester United player at heart. Big bad jonny Evans ta"&amp;"king us back there 🤣🤣🤣.")</f>
        <v>Johnny Evans is my new favourite players... Mctominay is a cunt. Johnny Evans is our guy.....a great player indeed #LEIMUN. Now Evans taking his anger on McTominay 😡. Johnny Evans red card? A true Manchester United player at heart. Big bad jonny Evans taking us back there 🤣🤣🤣.</v>
      </c>
      <c r="AE17" s="39" t="s">
        <v>17</v>
      </c>
      <c r="AH17" s="5"/>
      <c r="AI17" s="40">
        <f>IFERROR(__xludf.DUMMYFUNCTION("""COMPUTED_VALUE"""),44038.70715277777)</f>
        <v>44038.70715</v>
      </c>
      <c r="AJ17" s="5" t="str">
        <f>IFERROR(__xludf.DUMMYFUNCTION("""COMPUTED_VALUE"""),"Goal - LINGARD. Assist - none. Leicester 0-2 Man Utd (90+8 mins) #FPL #LEIMUN. Lingard scores and Utd finish third not a sentence I expected back in November or even 20 minutes ago. FULL-TIME Leicester 0-2 Man Utd. Man Utd finish in third place as Leicest"&amp;"er drop to fifth. #LEIMUN.")</f>
        <v>Goal - LINGARD. Assist - none. Leicester 0-2 Man Utd (90+8 mins) #FPL #LEIMUN. Lingard scores and Utd finish third not a sentence I expected back in November or even 20 minutes ago. FULL-TIME Leicester 0-2 Man Utd. Man Utd finish in third place as Leicester drop to fifth. #LEIMUN.</v>
      </c>
      <c r="AK17" s="39" t="s">
        <v>17</v>
      </c>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41" t="s">
        <v>842</v>
      </c>
      <c r="C18" s="33"/>
      <c r="D18" s="33"/>
      <c r="G18" s="5"/>
      <c r="H18" s="40">
        <f>IFERROR(__xludf.DUMMYFUNCTION("""COMPUTED_VALUE"""),44038.67307870371)</f>
        <v>44038.67308</v>
      </c>
      <c r="I18" s="5" t="str">
        <f>IFERROR(__xludf.DUMMYFUNCTION("""COMPUTED_VALUE"""),"All we need is Leicester City win for the victory of football. Do your thing, vardy. Rashford you don't want CL football. Scenes if Leicester get CL football. Greenwood and Williams are the only man Utd players playing great football, the rest.....")</f>
        <v>All we need is Leicester City win for the victory of football. Do your thing, vardy. Rashford you don't want CL football. Scenes if Leicester get CL football. Greenwood and Williams are the only man Utd players playing great football, the rest.....</v>
      </c>
      <c r="J18" s="39" t="s">
        <v>16</v>
      </c>
      <c r="K18" s="40">
        <f>IFERROR(__xludf.DUMMYFUNCTION("""COMPUTED_VALUE"""),44038.69152777777)</f>
        <v>44038.69153</v>
      </c>
      <c r="L18" s="5" t="str">
        <f>IFERROR(__xludf.DUMMYFUNCTION("""COMPUTED_VALUE"""),"I agree with the lingard sub, lingard runs about a lot and covers space. Would you bring Lingard on based on the first half? Ok Lingard 1 goal or assist is all I need from you for the whole season. Man put on lingard we really need some good players.")</f>
        <v>I agree with the lingard sub, lingard runs about a lot and covers space. Would you bring Lingard on based on the first half? Ok Lingard 1 goal or assist is all I need from you for the whole season. Man put on lingard we really need some good players.</v>
      </c>
      <c r="M18" s="39" t="s">
        <v>17</v>
      </c>
      <c r="N18" s="40">
        <f>IFERROR(__xludf.DUMMYFUNCTION("""COMPUTED_VALUE"""),44038.70189814815)</f>
        <v>44038.7019</v>
      </c>
      <c r="O18" s="5" t="str">
        <f>IFERROR(__xludf.DUMMYFUNCTION("""COMPUTED_VALUE"""),"Why is that a foul against Pogba? Fuck off. Ref has to be a Leicester fan. Anytime we apply pressure to a Leicester player, he gives a foul. 93 minutes played... Ref.. How far.... #Leimun. How are we constantly giving out fouls this close to the box? #LEI"&amp;"MUN.")</f>
        <v>Why is that a foul against Pogba? Fuck off. Ref has to be a Leicester fan. Anytime we apply pressure to a Leicester player, he gives a foul. 93 minutes played... Ref.. How far.... #Leimun. How are we constantly giving out fouls this close to the box? #LEIMUN.</v>
      </c>
      <c r="P18" s="39" t="s">
        <v>18</v>
      </c>
      <c r="Q18" s="40">
        <f>IFERROR(__xludf.DUMMYFUNCTION("""COMPUTED_VALUE"""),44038.67054398148)</f>
        <v>44038.67054</v>
      </c>
      <c r="R18" s="5" t="str">
        <f>IFERROR(__xludf.DUMMYFUNCTION("""COMPUTED_VALUE"""),"Am i blind or did matic make a forward pass. Ahh Martial with a clever run and great pass by Matic. What a pass from Matic, Martial should have shot with his left. What a pass that is from Matic into Martial. Martial goes down under pressure but never a p"&amp;"enalty there.")</f>
        <v>Am i blind or did matic make a forward pass. Ahh Martial with a clever run and great pass by Matic. What a pass from Matic, Martial should have shot with his left. What a pass that is from Matic into Martial. Martial goes down under pressure but never a penalty there.</v>
      </c>
      <c r="S18" s="39" t="s">
        <v>18</v>
      </c>
      <c r="V18" s="5"/>
      <c r="Y18" s="5"/>
      <c r="Z18" s="40">
        <f>IFERROR(__xludf.DUMMYFUNCTION("""COMPUTED_VALUE"""),44038.691203703704)</f>
        <v>44038.6912</v>
      </c>
      <c r="AA18" s="5" t="str">
        <f>IFERROR(__xludf.DUMMYFUNCTION("""COMPUTED_VALUE"""),"Lol that guy that bet against Lingard having a goal contribution this season is tense right now. Lingard to score and confirm 3rd place for us pls 🥺🥺. Bloody hell, we need goals, this cunt brings on Lingard. If lingard score a goal today, i will never r"&amp;"oast him ever again.")</f>
        <v>Lol that guy that bet against Lingard having a goal contribution this season is tense right now. Lingard to score and confirm 3rd place for us pls 🥺🥺. Bloody hell, we need goals, this cunt brings on Lingard. If lingard score a goal today, i will never roast him ever again.</v>
      </c>
      <c r="AB18" s="39" t="s">
        <v>17</v>
      </c>
      <c r="AE18" s="5"/>
      <c r="AH18" s="5"/>
      <c r="AK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G19" s="5"/>
      <c r="H19" s="40">
        <f>IFERROR(__xludf.DUMMYFUNCTION("""COMPUTED_VALUE"""),44038.675034722226)</f>
        <v>44038.67503</v>
      </c>
      <c r="I19" s="5" t="str">
        <f>IFERROR(__xludf.DUMMYFUNCTION("""COMPUTED_VALUE"""),"The theme song for celebrating Manchester United's draw (WIN) today is Jollof Onthe Jet 🎵🔴🛩⚽️.")</f>
        <v>The theme song for celebrating Manchester United's draw (WIN) today is Jollof Onthe Jet 🎵🔴🛩⚽️.</v>
      </c>
      <c r="J19" s="39" t="s">
        <v>15</v>
      </c>
      <c r="K19" s="40">
        <f>IFERROR(__xludf.DUMMYFUNCTION("""COMPUTED_VALUE"""),44038.69608796296)</f>
        <v>44038.69609</v>
      </c>
      <c r="L19" s="5" t="str">
        <f>IFERROR(__xludf.DUMMYFUNCTION("""COMPUTED_VALUE"""),"Maguire need to be subbed right now! Guys panicking like a egg cracking! #MUNLEI. How has Maguire escaped a 2nd yellow there?? Maguire was supposed to get a second yellow. But its Man utd. One of those yellow card unless it's a second yellow tackles by Ma"&amp;"guire...")</f>
        <v>Maguire need to be subbed right now! Guys panicking like a egg cracking! #MUNLEI. How has Maguire escaped a 2nd yellow there?? Maguire was supposed to get a second yellow. But its Man utd. One of those yellow card unless it's a second yellow tackles by Maguire...</v>
      </c>
      <c r="M19" s="39" t="s">
        <v>18</v>
      </c>
      <c r="N19" s="40">
        <f>IFERROR(__xludf.DUMMYFUNCTION("""COMPUTED_VALUE"""),44038.70350694444)</f>
        <v>44038.70351</v>
      </c>
      <c r="O19" s="5" t="str">
        <f>IFERROR(__xludf.DUMMYFUNCTION("""COMPUTED_VALUE"""),"Johnny Evans earns a straight red for a ridiculous foul on McTominay. Garbage tackle. Awful tackle from Jonny Evans. Given a penalty away and a red card against his former club. #mufc. Penalty and a red card, this is undoubtedly Jonny Evans' best ever per"&amp;"formance for United.")</f>
        <v>Johnny Evans earns a straight red for a ridiculous foul on McTominay. Garbage tackle. Awful tackle from Jonny Evans. Given a penalty away and a red card against his former club. #mufc. Penalty and a red card, this is undoubtedly Jonny Evans' best ever performance for United.</v>
      </c>
      <c r="P19" s="39" t="s">
        <v>17</v>
      </c>
      <c r="Q19" s="40">
        <f>IFERROR(__xludf.DUMMYFUNCTION("""COMPUTED_VALUE"""),44038.68335648148)</f>
        <v>44038.68336</v>
      </c>
      <c r="R19" s="5" t="str">
        <f>IFERROR(__xludf.DUMMYFUNCTION("""COMPUTED_VALUE"""),"The fuck was that pass from pogba #mufc. Pogba please take care of the ball!!! #MUFC #LEIMUN. Rashford has ACRES to make a run inside for that Pogba ball but he's standing on the wing waiting for it. Pogba lose the ball too easily still enuh. Pogba's head"&amp;" has started to touch.")</f>
        <v>The fuck was that pass from pogba #mufc. Pogba please take care of the ball!!! #MUFC #LEIMUN. Rashford has ACRES to make a run inside for that Pogba ball but he's standing on the wing waiting for it. Pogba lose the ball too easily still enuh. Pogba's head has started to touch.</v>
      </c>
      <c r="S19" s="39" t="s">
        <v>18</v>
      </c>
      <c r="V19" s="5"/>
      <c r="Y19" s="5"/>
      <c r="Z19" s="40">
        <f>IFERROR(__xludf.DUMMYFUNCTION("""COMPUTED_VALUE"""),44038.69371527778)</f>
        <v>44038.69372</v>
      </c>
      <c r="AA19" s="5" t="str">
        <f>IFERROR(__xludf.DUMMYFUNCTION("""COMPUTED_VALUE"""),"Bruno Fernandes scores to put United where they want to be. Couldn’t have been anyone else. What a signing.. Does anyone love scoring penalties more than Bruno Fernandes?. Love a Leicester goal here to finish third.")</f>
        <v>Bruno Fernandes scores to put United where they want to be. Couldn’t have been anyone else. What a signing.. Does anyone love scoring penalties more than Bruno Fernandes?. Love a Leicester goal here to finish third.</v>
      </c>
      <c r="AB19" s="39" t="s">
        <v>14</v>
      </c>
      <c r="AE19" s="5"/>
      <c r="AH19" s="5"/>
      <c r="AK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6">
        <f>IFERROR(__xludf.DUMMYFUNCTION("IF(C20, COUNTIF(FILTER($D$26:$D1007, $A$26:$A1007=A20), TRUE)/C20, 0)"),1.0)</f>
        <v>1</v>
      </c>
      <c r="G20" s="5"/>
      <c r="H20" s="40">
        <f>IFERROR(__xludf.DUMMYFUNCTION("""COMPUTED_VALUE"""),44038.68292824074)</f>
        <v>44038.68293</v>
      </c>
      <c r="I20" s="5" t="str">
        <f>IFERROR(__xludf.DUMMYFUNCTION("""COMPUTED_VALUE"""),"Leicester deserve cl football we dont. I hope we can all agree that Pogba is a VERY average footballer! What kinda useless football is this? Ole should do some changes #LEIMUN. Adama Traore chose the wrong football 😂. #CHEWOL #LEIMUN.")</f>
        <v>Leicester deserve cl football we dont. I hope we can all agree that Pogba is a VERY average footballer! What kinda useless football is this? Ole should do some changes #LEIMUN. Adama Traore chose the wrong football 😂. #CHEWOL #LEIMUN.</v>
      </c>
      <c r="J20" s="39" t="s">
        <v>16</v>
      </c>
      <c r="M20" s="5"/>
      <c r="N20" s="40">
        <f>IFERROR(__xludf.DUMMYFUNCTION("""COMPUTED_VALUE"""),44038.70560185185)</f>
        <v>44038.7056</v>
      </c>
      <c r="O20" s="5" t="str">
        <f>IFERROR(__xludf.DUMMYFUNCTION("""COMPUTED_VALUE"""),"Top performance by Jonny Evans. Conceded a penalty and got a red. United legend. Johnny Evans gifting a penalty to United. What a legend! 😍 #LEIMUN. Penalty given away, red card. Jonny Evans, Man United legend!.")</f>
        <v>Top performance by Jonny Evans. Conceded a penalty and got a red. United legend. Johnny Evans gifting a penalty to United. What a legend! 😍 #LEIMUN. Penalty given away, red card. Jonny Evans, Man United legend!.</v>
      </c>
      <c r="P20" s="39" t="s">
        <v>14</v>
      </c>
      <c r="Q20" s="40">
        <f>IFERROR(__xludf.DUMMYFUNCTION("""COMPUTED_VALUE"""),44038.695555555554)</f>
        <v>44038.69556</v>
      </c>
      <c r="R20" s="5" t="str">
        <f>IFERROR(__xludf.DUMMYFUNCTION("""COMPUTED_VALUE"""),"MOTM for me so far has to be Pogba. Played very well eith the occasional misplaced pass. Pogba lose the ball in midfield fi fun!!!! Pogba trying to sabotage. C'mon lad. One touch football jo. Olè needs to caution pogba, he losses way too many balls, dange"&amp;"rously dho.")</f>
        <v>MOTM for me so far has to be Pogba. Played very well eith the occasional misplaced pass. Pogba lose the ball in midfield fi fun!!!! Pogba trying to sabotage. C'mon lad. One touch football jo. Olè needs to caution pogba, he losses way too many balls, dangerously dho.</v>
      </c>
      <c r="S20" s="39" t="s">
        <v>18</v>
      </c>
      <c r="V20" s="5"/>
      <c r="Y20" s="5"/>
      <c r="Z20" s="40">
        <f>IFERROR(__xludf.DUMMYFUNCTION("""COMPUTED_VALUE"""),44038.70579861111)</f>
        <v>44038.7058</v>
      </c>
      <c r="AA20" s="5" t="str">
        <f>IFERROR(__xludf.DUMMYFUNCTION("""COMPUTED_VALUE"""),"Lingard would score on the team he’ll be playing on next year. Lingard scores ahahhahahahaha what a final day this has turned out to be. Jesse lingard with the most important goal of the season. 😭😭😭😭😭😭😭😭😭😭😭😭😭😭😭😭😭😭😭😭😭😭😭😭😭😭😭😭😭😭"&amp;"😭😭😭😭😭😭😭😭😭😭😭😭😭😭😭.")</f>
        <v>Lingard would score on the team he’ll be playing on next year. Lingard scores ahahhahahahaha what a final day this has turned out to be. Jesse lingard with the most important goal of the season. 😭😭😭😭😭😭😭😭😭😭😭😭😭😭😭😭😭😭😭😭😭😭😭😭😭😭😭😭😭😭😭😭😭😭😭😭😭😭😭😭😭😭😭😭😭.</v>
      </c>
      <c r="AB20" s="39" t="s">
        <v>17</v>
      </c>
      <c r="AE20" s="5"/>
      <c r="AH20" s="5"/>
      <c r="AK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7</v>
      </c>
      <c r="D21" s="26">
        <f>IFERROR(__xludf.DUMMYFUNCTION("IF(C21, COUNTIF(FILTER($D$26:$D1007, $A$26:$A1007=A21), TRUE)/C21, 0)"),0.5714285714285714)</f>
        <v>0.5714285714</v>
      </c>
      <c r="G21" s="5"/>
      <c r="H21" s="40">
        <f>IFERROR(__xludf.DUMMYFUNCTION("""COMPUTED_VALUE"""),44038.68582175926)</f>
        <v>44038.68582</v>
      </c>
      <c r="I21" s="5" t="str">
        <f>IFERROR(__xludf.DUMMYFUNCTION("""COMPUTED_VALUE"""),"We got Penalty in the final match too... 😂😂😂 #LEIMUN. Manchester United set a new record for the most penalties (14) in a Premier League season. #LEIMUN. United have a penalty. Europa league waiting for Leicester !. If no be penalty una no go win ball."&amp;" #LEIMUN TUEEHH.")</f>
        <v>We got Penalty in the final match too... 😂😂😂 #LEIMUN. Manchester United set a new record for the most penalties (14) in a Premier League season. #LEIMUN. United have a penalty. Europa league waiting for Leicester !. If no be penalty una no go win ball. #LEIMUN TUEEHH.</v>
      </c>
      <c r="J21" s="39" t="s">
        <v>18</v>
      </c>
      <c r="M21" s="5"/>
      <c r="P21" s="5"/>
      <c r="S21" s="5"/>
      <c r="V21" s="5"/>
      <c r="Y21" s="5"/>
      <c r="AB21" s="5"/>
      <c r="AE21" s="5"/>
      <c r="AH21" s="5"/>
      <c r="AK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0)"),0.25)</f>
        <v>0.25</v>
      </c>
      <c r="G22" s="5"/>
      <c r="H22" s="40">
        <f>IFERROR(__xludf.DUMMYFUNCTION("""COMPUTED_VALUE"""),44038.6871412037)</f>
        <v>44038.68714</v>
      </c>
      <c r="I22" s="5" t="str">
        <f>IFERROR(__xludf.DUMMYFUNCTION("""COMPUTED_VALUE"""),"Martial FC winning a penalty for Fernandes FC. Bruno Fernandes the biggest stat padder in the league. Has Bruno Fernandes just fired Manchester United into the Champions League? #LEIMUN. Bruno has been terrible this game but has got us CL football so 🤪. "&amp;"#LEIMUN.")</f>
        <v>Martial FC winning a penalty for Fernandes FC. Bruno Fernandes the biggest stat padder in the league. Has Bruno Fernandes just fired Manchester United into the Champions League? #LEIMUN. Bruno has been terrible this game but has got us CL football so 🤪. #LEIMUN.</v>
      </c>
      <c r="J22" s="39" t="s">
        <v>16</v>
      </c>
      <c r="M22" s="5"/>
      <c r="P22" s="5"/>
      <c r="S22" s="5"/>
      <c r="V22" s="5"/>
      <c r="Y22" s="5"/>
      <c r="AB22" s="5"/>
      <c r="AE22" s="5"/>
      <c r="AH22" s="5"/>
      <c r="AK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9</v>
      </c>
      <c r="D23" s="26">
        <f>IFERROR(__xludf.DUMMYFUNCTION("IF(C23, COUNTIF(FILTER($D$26:$D1007, $A$26:$A1007=A23), TRUE)/C23, 0)"),0.2222222222222222)</f>
        <v>0.2222222222</v>
      </c>
      <c r="G23" s="5"/>
      <c r="H23" s="40">
        <f>IFERROR(__xludf.DUMMYFUNCTION("""COMPUTED_VALUE"""),44038.68863425926)</f>
        <v>44038.68863</v>
      </c>
      <c r="I23" s="5" t="str">
        <f>IFERROR(__xludf.DUMMYFUNCTION("""COMPUTED_VALUE"""),"That was Manchester United’s 20th penalty of the season and their 14th in the Premier League - a new record lol fuck this club honestly #PL. That was Manchester United's 1⃣4⃣th penalty of the season, a new Premier League record...👀.")</f>
        <v>That was Manchester United’s 20th penalty of the season and their 14th in the Premier League - a new record lol fuck this club honestly #PL. That was Manchester United's 1⃣4⃣th penalty of the season, a new Premier League record...👀.</v>
      </c>
      <c r="J23" s="39" t="s">
        <v>18</v>
      </c>
      <c r="M23" s="5"/>
      <c r="P23" s="5"/>
      <c r="S23" s="5"/>
      <c r="V23" s="5"/>
      <c r="Y23" s="5"/>
      <c r="AB23" s="5"/>
      <c r="AE23" s="5"/>
      <c r="AH23" s="5"/>
      <c r="AK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23</v>
      </c>
      <c r="D24" s="26">
        <f>COUNTIF($D$26:$D1007, TRUE)/C24</f>
        <v>0.4347826087</v>
      </c>
      <c r="G24" s="5"/>
      <c r="H24" s="40">
        <f>IFERROR(__xludf.DUMMYFUNCTION("""COMPUTED_VALUE"""),44038.69108796296)</f>
        <v>44038.69109</v>
      </c>
      <c r="I24" s="5" t="str">
        <f>IFERROR(__xludf.DUMMYFUNCTION("""COMPUTED_VALUE"""),"Lingard coming on for his final game in the league for utd. Manchester United have won 14 penalties in the Premier League this season. The most by any club in history.. Lingard on for the best teenager in world football?? What could go wrong.")</f>
        <v>Lingard coming on for his final game in the league for utd. Manchester United have won 14 penalties in the Premier League this season. The most by any club in history.. Lingard on for the best teenager in world football?? What could go wrong.</v>
      </c>
      <c r="J24" s="39" t="s">
        <v>17</v>
      </c>
      <c r="M24" s="5"/>
      <c r="P24" s="5"/>
      <c r="S24" s="5"/>
      <c r="V24" s="5"/>
      <c r="Y24" s="5"/>
      <c r="AB24" s="5"/>
      <c r="AE24" s="5"/>
      <c r="AH24" s="5"/>
      <c r="AK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G25" s="5"/>
      <c r="H25" s="40">
        <f>IFERROR(__xludf.DUMMYFUNCTION("""COMPUTED_VALUE"""),44038.69243055556)</f>
        <v>44038.69243</v>
      </c>
      <c r="I25" s="5" t="str">
        <f>IFERROR(__xludf.DUMMYFUNCTION("""COMPUTED_VALUE"""),"Man Utd have now been awarded a 14 penalties in a Premier League season and also Bruno Fernandes scoring all 4 of his Premier League. 😳🙄. 20 penalties awarded to Manchester United in the 2019/20 football season....")</f>
        <v>Man Utd have now been awarded a 14 penalties in a Premier League season and also Bruno Fernandes scoring all 4 of his Premier League. 😳🙄. 20 penalties awarded to Manchester United in the 2019/20 football season....</v>
      </c>
      <c r="J25" s="39" t="s">
        <v>18</v>
      </c>
      <c r="M25" s="5"/>
      <c r="P25" s="5"/>
      <c r="S25" s="5"/>
      <c r="V25" s="5"/>
      <c r="Y25" s="5"/>
      <c r="AB25" s="5"/>
      <c r="AE25" s="5"/>
      <c r="AH25" s="5"/>
      <c r="AK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0</v>
      </c>
      <c r="G26" s="5"/>
      <c r="H26" s="40">
        <f>IFERROR(__xludf.DUMMYFUNCTION("""COMPUTED_VALUE"""),44038.705925925926)</f>
        <v>44038.70593</v>
      </c>
      <c r="I26" s="5" t="str">
        <f>IFERROR(__xludf.DUMMYFUNCTION("""COMPUTED_VALUE"""),"Only Lingard would celebrate his first goal in the premier league which is a tap in 😂. Lingard final game of the season loooool get that guy out my club. You don’t deserve champions league if Lingard scores against you.")</f>
        <v>Only Lingard would celebrate his first goal in the premier league which is a tap in 😂. Lingard final game of the season loooool get that guy out my club. You don’t deserve champions league if Lingard scores against you.</v>
      </c>
      <c r="J26" s="39" t="s">
        <v>17</v>
      </c>
      <c r="M26" s="5"/>
      <c r="P26" s="5"/>
      <c r="S26" s="5"/>
      <c r="V26" s="5"/>
      <c r="Y26" s="5"/>
      <c r="AB26" s="5"/>
      <c r="AE26" s="5"/>
      <c r="AH26" s="5"/>
      <c r="AK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49</v>
      </c>
      <c r="B27" s="19" t="s">
        <v>843</v>
      </c>
      <c r="C27" s="21">
        <v>9.0</v>
      </c>
      <c r="D27" s="35" t="b">
        <v>1</v>
      </c>
      <c r="G27" s="5"/>
      <c r="H27" s="40">
        <f>IFERROR(__xludf.DUMMYFUNCTION("""COMPUTED_VALUE"""),44038.707777777774)</f>
        <v>44038.70778</v>
      </c>
      <c r="I27" s="5" t="str">
        <f>IFERROR(__xludf.DUMMYFUNCTION("""COMPUTED_VALUE"""),"Jesses Lingard wrapping up the League. Tonight was something special 😍. Ole's tricky reds into the champions league barcelona better watch out for jesse lingard and the crew. Breaking! Jesse Lingard has scored a premier league goal 🚨.")</f>
        <v>Jesses Lingard wrapping up the League. Tonight was something special 😍. Ole's tricky reds into the champions league barcelona better watch out for jesse lingard and the crew. Breaking! Jesse Lingard has scored a premier league goal 🚨.</v>
      </c>
      <c r="J27" s="5"/>
      <c r="M27" s="5"/>
      <c r="P27" s="5"/>
      <c r="S27" s="5"/>
      <c r="V27" s="5"/>
      <c r="Y27" s="5"/>
      <c r="AB27" s="5"/>
      <c r="AE27" s="5"/>
      <c r="AH27" s="5"/>
      <c r="AK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47</v>
      </c>
      <c r="B28" s="19" t="s">
        <v>844</v>
      </c>
      <c r="C28" s="21">
        <v>33.0</v>
      </c>
      <c r="D28" s="35" t="b">
        <v>1</v>
      </c>
      <c r="G28" s="5"/>
      <c r="J28" s="5"/>
      <c r="M28" s="5"/>
      <c r="P28" s="5"/>
      <c r="S28" s="5"/>
      <c r="V28" s="5"/>
      <c r="Y28" s="5"/>
      <c r="AB28" s="5"/>
      <c r="AE28" s="5"/>
      <c r="AH28" s="5"/>
      <c r="AK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51</v>
      </c>
      <c r="B29" s="19" t="s">
        <v>64</v>
      </c>
      <c r="C29" s="21">
        <v>45.0</v>
      </c>
      <c r="D29" s="35" t="b">
        <v>1</v>
      </c>
      <c r="G29" s="5"/>
      <c r="J29" s="5"/>
      <c r="M29" s="5"/>
      <c r="P29" s="5"/>
      <c r="S29" s="5"/>
      <c r="V29" s="5"/>
      <c r="Y29" s="5"/>
      <c r="AB29" s="5"/>
      <c r="AE29" s="5"/>
      <c r="AH29" s="5"/>
      <c r="AK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51</v>
      </c>
      <c r="B30" s="19" t="s">
        <v>65</v>
      </c>
      <c r="C30" s="21">
        <v>45.0</v>
      </c>
      <c r="D30" s="35" t="b">
        <v>0</v>
      </c>
      <c r="G30" s="5"/>
      <c r="J30" s="5"/>
      <c r="M30" s="5"/>
      <c r="P30" s="5"/>
      <c r="S30" s="5"/>
      <c r="V30" s="5"/>
      <c r="Y30" s="5"/>
      <c r="AB30" s="5"/>
      <c r="AE30" s="5"/>
      <c r="AH30" s="5"/>
      <c r="AK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53</v>
      </c>
      <c r="B31" s="19" t="s">
        <v>845</v>
      </c>
      <c r="C31" s="21">
        <v>58.0</v>
      </c>
      <c r="D31" s="35" t="b">
        <v>1</v>
      </c>
      <c r="G31" s="5"/>
      <c r="J31" s="5"/>
      <c r="M31" s="5"/>
      <c r="P31" s="5"/>
      <c r="S31" s="5"/>
      <c r="V31" s="5"/>
      <c r="Y31" s="5"/>
      <c r="AB31" s="5"/>
      <c r="AE31" s="5"/>
      <c r="AH31" s="5"/>
      <c r="AK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49</v>
      </c>
      <c r="B32" s="42" t="s">
        <v>846</v>
      </c>
      <c r="C32" s="21">
        <v>63.0</v>
      </c>
      <c r="D32" s="35" t="b">
        <v>1</v>
      </c>
      <c r="G32" s="5"/>
      <c r="J32" s="5"/>
      <c r="M32" s="5"/>
      <c r="P32" s="5"/>
      <c r="S32" s="5"/>
      <c r="V32" s="5"/>
      <c r="Y32" s="5"/>
      <c r="AB32" s="5"/>
      <c r="AE32" s="5"/>
      <c r="AH32" s="5"/>
      <c r="AK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49</v>
      </c>
      <c r="B33" s="42" t="s">
        <v>847</v>
      </c>
      <c r="C33" s="21">
        <v>69.0</v>
      </c>
      <c r="D33" s="35" t="b">
        <v>1</v>
      </c>
      <c r="G33" s="5"/>
      <c r="J33" s="5"/>
      <c r="M33" s="5"/>
      <c r="P33" s="5"/>
      <c r="S33" s="5"/>
      <c r="V33" s="5"/>
      <c r="Y33" s="5"/>
      <c r="AB33" s="5"/>
      <c r="AE33" s="5"/>
      <c r="AH33" s="5"/>
      <c r="AK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47</v>
      </c>
      <c r="B34" s="42" t="s">
        <v>848</v>
      </c>
      <c r="C34" s="21">
        <v>70.0</v>
      </c>
      <c r="D34" s="35" t="b">
        <v>1</v>
      </c>
      <c r="G34" s="5"/>
      <c r="J34" s="5"/>
      <c r="M34" s="5"/>
      <c r="P34" s="5"/>
      <c r="S34" s="5"/>
      <c r="V34" s="5"/>
      <c r="Y34" s="5"/>
      <c r="AB34" s="5"/>
      <c r="AE34" s="5"/>
      <c r="AH34" s="5"/>
      <c r="AK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42" t="s">
        <v>849</v>
      </c>
      <c r="C35" s="21">
        <v>73.0</v>
      </c>
      <c r="D35" s="35" t="b">
        <v>0</v>
      </c>
      <c r="G35" s="5"/>
      <c r="J35" s="5"/>
      <c r="M35" s="5"/>
      <c r="P35" s="5"/>
      <c r="S35" s="5"/>
      <c r="V35" s="5"/>
      <c r="Y35" s="5"/>
      <c r="AB35" s="5"/>
      <c r="AE35" s="5"/>
      <c r="AH35" s="5"/>
      <c r="AK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42" t="s">
        <v>850</v>
      </c>
      <c r="C36" s="21">
        <v>73.0</v>
      </c>
      <c r="D36" s="35" t="b">
        <v>0</v>
      </c>
      <c r="G36" s="5"/>
      <c r="J36" s="5"/>
      <c r="M36" s="5"/>
      <c r="P36" s="5"/>
      <c r="S36" s="5"/>
      <c r="V36" s="5"/>
      <c r="Y36" s="5"/>
      <c r="AB36" s="5"/>
      <c r="AE36" s="5"/>
      <c r="AH36" s="5"/>
      <c r="AK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53</v>
      </c>
      <c r="B37" s="42" t="s">
        <v>851</v>
      </c>
      <c r="C37" s="21">
        <v>73.0</v>
      </c>
      <c r="D37" s="35" t="b">
        <v>0</v>
      </c>
      <c r="G37" s="5"/>
      <c r="J37" s="5"/>
      <c r="M37" s="5"/>
      <c r="P37" s="5"/>
      <c r="S37" s="5"/>
      <c r="V37" s="5"/>
      <c r="Y37" s="5"/>
      <c r="AB37" s="5"/>
      <c r="AE37" s="5"/>
      <c r="AH37" s="5"/>
      <c r="AK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42" t="s">
        <v>852</v>
      </c>
      <c r="C38" s="21">
        <v>77.0</v>
      </c>
      <c r="D38" s="35" t="b">
        <v>1</v>
      </c>
      <c r="G38" s="5"/>
      <c r="J38" s="5"/>
      <c r="M38" s="5"/>
      <c r="P38" s="5"/>
      <c r="S38" s="5"/>
      <c r="V38" s="5"/>
      <c r="Y38" s="5"/>
      <c r="AB38" s="5"/>
      <c r="AE38" s="5"/>
      <c r="AH38" s="5"/>
      <c r="AK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49</v>
      </c>
      <c r="B39" s="42" t="s">
        <v>853</v>
      </c>
      <c r="C39" s="21">
        <v>83.0</v>
      </c>
      <c r="D39" s="35" t="b">
        <v>0</v>
      </c>
      <c r="G39" s="5"/>
      <c r="J39" s="5"/>
      <c r="M39" s="5"/>
      <c r="P39" s="5"/>
      <c r="S39" s="5"/>
      <c r="V39" s="5"/>
      <c r="Y39" s="5"/>
      <c r="AB39" s="5"/>
      <c r="AE39" s="5"/>
      <c r="AH39" s="5"/>
      <c r="AK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t="s">
        <v>53</v>
      </c>
      <c r="B40" s="42" t="s">
        <v>854</v>
      </c>
      <c r="C40" s="21">
        <v>86.0</v>
      </c>
      <c r="D40" s="35" t="b">
        <v>0</v>
      </c>
      <c r="G40" s="5"/>
      <c r="J40" s="5"/>
      <c r="M40" s="5"/>
      <c r="P40" s="5"/>
      <c r="S40" s="5"/>
      <c r="V40" s="5"/>
      <c r="Y40" s="5"/>
      <c r="AB40" s="5"/>
      <c r="AE40" s="5"/>
      <c r="AH40" s="5"/>
      <c r="AK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A41" s="19" t="s">
        <v>53</v>
      </c>
      <c r="B41" s="42" t="s">
        <v>855</v>
      </c>
      <c r="C41" s="21">
        <v>88.0</v>
      </c>
      <c r="D41" s="35" t="b">
        <v>0</v>
      </c>
      <c r="G41" s="5"/>
      <c r="J41" s="5"/>
      <c r="M41" s="5"/>
      <c r="P41" s="5"/>
      <c r="S41" s="5"/>
      <c r="V41" s="5"/>
      <c r="Y41" s="5"/>
      <c r="AB41" s="5"/>
      <c r="AE41" s="5"/>
      <c r="AH41" s="5"/>
      <c r="AK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A42" s="19" t="s">
        <v>49</v>
      </c>
      <c r="B42" s="42" t="s">
        <v>856</v>
      </c>
      <c r="C42" s="21">
        <v>90.0</v>
      </c>
      <c r="D42" s="35" t="b">
        <v>0</v>
      </c>
      <c r="G42" s="5"/>
      <c r="J42" s="5"/>
      <c r="M42" s="5"/>
      <c r="P42" s="5"/>
      <c r="S42" s="5"/>
      <c r="V42" s="5"/>
      <c r="Y42" s="5"/>
      <c r="AB42" s="5"/>
      <c r="AE42" s="5"/>
      <c r="AH42" s="5"/>
      <c r="AK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A43" s="19" t="s">
        <v>49</v>
      </c>
      <c r="B43" s="42" t="s">
        <v>857</v>
      </c>
      <c r="C43" s="21">
        <v>92.0</v>
      </c>
      <c r="D43" s="35" t="b">
        <v>0</v>
      </c>
      <c r="G43" s="5"/>
      <c r="J43" s="5"/>
      <c r="M43" s="5"/>
      <c r="P43" s="5"/>
      <c r="S43" s="5"/>
      <c r="V43" s="5"/>
      <c r="Y43" s="5"/>
      <c r="AB43" s="5"/>
      <c r="AE43" s="5"/>
      <c r="AH43" s="5"/>
      <c r="AK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A44" s="19" t="s">
        <v>49</v>
      </c>
      <c r="B44" s="42" t="s">
        <v>858</v>
      </c>
      <c r="C44" s="21">
        <v>94.0</v>
      </c>
      <c r="D44" s="35" t="b">
        <v>1</v>
      </c>
      <c r="G44" s="5"/>
      <c r="J44" s="5"/>
      <c r="M44" s="5"/>
      <c r="P44" s="5"/>
      <c r="S44" s="5"/>
      <c r="V44" s="5"/>
      <c r="Y44" s="5"/>
      <c r="AB44" s="5"/>
      <c r="AE44" s="5"/>
      <c r="AH44" s="5"/>
      <c r="AK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t="s">
        <v>53</v>
      </c>
      <c r="B45" s="42" t="s">
        <v>859</v>
      </c>
      <c r="C45" s="45">
        <v>97.0</v>
      </c>
      <c r="D45" s="35" t="b">
        <v>0</v>
      </c>
      <c r="G45" s="5"/>
      <c r="J45" s="5"/>
      <c r="M45" s="5"/>
      <c r="P45" s="5"/>
      <c r="S45" s="5"/>
      <c r="V45" s="5"/>
      <c r="Y45" s="5"/>
      <c r="AB45" s="5"/>
      <c r="AE45" s="5"/>
      <c r="AH45" s="5"/>
      <c r="AK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A46" s="19" t="s">
        <v>53</v>
      </c>
      <c r="B46" s="42" t="s">
        <v>860</v>
      </c>
      <c r="C46" s="45">
        <v>97.0</v>
      </c>
      <c r="D46" s="35" t="b">
        <v>0</v>
      </c>
      <c r="G46" s="5"/>
      <c r="J46" s="5"/>
      <c r="M46" s="5"/>
      <c r="P46" s="5"/>
      <c r="S46" s="5"/>
      <c r="V46" s="5"/>
      <c r="Y46" s="5"/>
      <c r="AB46" s="5"/>
      <c r="AE46" s="5"/>
      <c r="AH46" s="5"/>
      <c r="AK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6" t="s">
        <v>47</v>
      </c>
      <c r="B47" s="42" t="s">
        <v>861</v>
      </c>
      <c r="C47" s="45">
        <v>98.0</v>
      </c>
      <c r="D47" s="35" t="b">
        <v>1</v>
      </c>
      <c r="G47" s="5"/>
      <c r="J47" s="5"/>
      <c r="M47" s="5"/>
      <c r="P47" s="5"/>
      <c r="S47" s="5"/>
      <c r="V47" s="5"/>
      <c r="Y47" s="5"/>
      <c r="AB47" s="5"/>
      <c r="AE47" s="5"/>
      <c r="AH47" s="5"/>
      <c r="AK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t="s">
        <v>51</v>
      </c>
      <c r="B48" s="42" t="s">
        <v>74</v>
      </c>
      <c r="C48" s="21">
        <v>90.0</v>
      </c>
      <c r="D48" s="35" t="b">
        <v>0</v>
      </c>
      <c r="G48" s="5"/>
      <c r="J48" s="5"/>
      <c r="M48" s="5"/>
      <c r="P48" s="5"/>
      <c r="S48" s="5"/>
      <c r="V48" s="5"/>
      <c r="Y48" s="5"/>
      <c r="AB48" s="5"/>
      <c r="AE48" s="5"/>
      <c r="AH48" s="5"/>
      <c r="AK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row r="881">
      <c r="AO881" s="40"/>
      <c r="AP881" s="5"/>
      <c r="AR881" s="40"/>
      <c r="AS881" s="5"/>
      <c r="AU881" s="40"/>
      <c r="AV881" s="5"/>
      <c r="AX881" s="40"/>
      <c r="AY881" s="5"/>
      <c r="BA881" s="40"/>
      <c r="BB881" s="5"/>
      <c r="BD881" s="40"/>
      <c r="BE881" s="5"/>
      <c r="BG881" s="40"/>
      <c r="BH881" s="5"/>
      <c r="BJ881" s="40"/>
      <c r="BK881" s="5"/>
      <c r="BM881" s="40"/>
      <c r="BN881" s="5"/>
      <c r="BP881" s="40"/>
      <c r="BQ881" s="5"/>
      <c r="BS881" s="40"/>
      <c r="BT881" s="5"/>
      <c r="BV881" s="40"/>
      <c r="BW881" s="5"/>
      <c r="BY881" s="40"/>
      <c r="BZ881" s="5"/>
      <c r="CB881" s="40"/>
      <c r="CC881" s="5"/>
      <c r="CE881" s="40"/>
      <c r="CF881" s="5"/>
      <c r="CH881" s="40"/>
      <c r="CI881" s="5"/>
      <c r="CK881" s="40"/>
      <c r="CL881" s="5"/>
      <c r="CN881" s="40"/>
      <c r="CO881" s="5"/>
      <c r="CQ881" s="40"/>
      <c r="CR881" s="5"/>
    </row>
    <row r="882">
      <c r="AO882" s="40"/>
      <c r="AP882" s="5"/>
      <c r="AR882" s="40"/>
      <c r="AS882" s="5"/>
      <c r="AU882" s="40"/>
      <c r="AV882" s="5"/>
      <c r="AX882" s="40"/>
      <c r="AY882" s="5"/>
      <c r="BA882" s="40"/>
      <c r="BB882" s="5"/>
      <c r="BD882" s="40"/>
      <c r="BE882" s="5"/>
      <c r="BG882" s="40"/>
      <c r="BH882" s="5"/>
      <c r="BJ882" s="40"/>
      <c r="BK882" s="5"/>
      <c r="BM882" s="40"/>
      <c r="BN882" s="5"/>
      <c r="BP882" s="40"/>
      <c r="BQ882" s="5"/>
      <c r="BS882" s="40"/>
      <c r="BT882" s="5"/>
      <c r="BV882" s="40"/>
      <c r="BW882" s="5"/>
      <c r="BY882" s="40"/>
      <c r="BZ882" s="5"/>
      <c r="CB882" s="40"/>
      <c r="CC882" s="5"/>
      <c r="CE882" s="40"/>
      <c r="CF882" s="5"/>
      <c r="CH882" s="40"/>
      <c r="CI882" s="5"/>
      <c r="CK882" s="40"/>
      <c r="CL882" s="5"/>
      <c r="CN882" s="40"/>
      <c r="CO882" s="5"/>
      <c r="CQ882" s="40"/>
      <c r="CR882" s="5"/>
    </row>
    <row r="883">
      <c r="AO883" s="40"/>
      <c r="AP883" s="5"/>
      <c r="AR883" s="40"/>
      <c r="AS883" s="5"/>
      <c r="AU883" s="40"/>
      <c r="AV883" s="5"/>
      <c r="AX883" s="40"/>
      <c r="AY883" s="5"/>
      <c r="BA883" s="40"/>
      <c r="BB883" s="5"/>
      <c r="BD883" s="40"/>
      <c r="BE883" s="5"/>
      <c r="BG883" s="40"/>
      <c r="BH883" s="5"/>
      <c r="BJ883" s="40"/>
      <c r="BK883" s="5"/>
      <c r="BM883" s="40"/>
      <c r="BN883" s="5"/>
      <c r="BP883" s="40"/>
      <c r="BQ883" s="5"/>
      <c r="BS883" s="40"/>
      <c r="BT883" s="5"/>
      <c r="BV883" s="40"/>
      <c r="BW883" s="5"/>
      <c r="BY883" s="40"/>
      <c r="BZ883" s="5"/>
      <c r="CB883" s="40"/>
      <c r="CC883" s="5"/>
      <c r="CE883" s="40"/>
      <c r="CF883" s="5"/>
      <c r="CH883" s="40"/>
      <c r="CI883" s="5"/>
      <c r="CK883" s="40"/>
      <c r="CL883" s="5"/>
      <c r="CN883" s="40"/>
      <c r="CO883" s="5"/>
      <c r="CQ883" s="40"/>
      <c r="CR883" s="5"/>
    </row>
    <row r="884">
      <c r="AO884" s="40"/>
      <c r="AP884" s="5"/>
      <c r="AR884" s="40"/>
      <c r="AS884" s="5"/>
      <c r="AU884" s="40"/>
      <c r="AV884" s="5"/>
      <c r="AX884" s="40"/>
      <c r="AY884" s="5"/>
      <c r="BA884" s="40"/>
      <c r="BB884" s="5"/>
      <c r="BD884" s="40"/>
      <c r="BE884" s="5"/>
      <c r="BG884" s="40"/>
      <c r="BH884" s="5"/>
      <c r="BJ884" s="40"/>
      <c r="BK884" s="5"/>
      <c r="BM884" s="40"/>
      <c r="BN884" s="5"/>
      <c r="BP884" s="40"/>
      <c r="BQ884" s="5"/>
      <c r="BS884" s="40"/>
      <c r="BT884" s="5"/>
      <c r="BV884" s="40"/>
      <c r="BW884" s="5"/>
      <c r="BY884" s="40"/>
      <c r="BZ884" s="5"/>
      <c r="CB884" s="40"/>
      <c r="CC884" s="5"/>
      <c r="CE884" s="40"/>
      <c r="CF884" s="5"/>
      <c r="CH884" s="40"/>
      <c r="CI884" s="5"/>
      <c r="CK884" s="40"/>
      <c r="CL884" s="5"/>
      <c r="CN884" s="40"/>
      <c r="CO884" s="5"/>
      <c r="CQ884" s="40"/>
      <c r="CR884" s="5"/>
    </row>
    <row r="885">
      <c r="AO885" s="40"/>
      <c r="AP885" s="5"/>
      <c r="AR885" s="40"/>
      <c r="AS885" s="5"/>
      <c r="AU885" s="40"/>
      <c r="AV885" s="5"/>
      <c r="AX885" s="40"/>
      <c r="AY885" s="5"/>
      <c r="BA885" s="40"/>
      <c r="BB885" s="5"/>
      <c r="BD885" s="40"/>
      <c r="BE885" s="5"/>
      <c r="BG885" s="40"/>
      <c r="BH885" s="5"/>
      <c r="BJ885" s="40"/>
      <c r="BK885" s="5"/>
      <c r="BM885" s="40"/>
      <c r="BN885" s="5"/>
      <c r="BP885" s="40"/>
      <c r="BQ885" s="5"/>
      <c r="BS885" s="40"/>
      <c r="BT885" s="5"/>
      <c r="BV885" s="40"/>
      <c r="BW885" s="5"/>
      <c r="BY885" s="40"/>
      <c r="BZ885" s="5"/>
      <c r="CB885" s="40"/>
      <c r="CC885" s="5"/>
      <c r="CE885" s="40"/>
      <c r="CF885" s="5"/>
      <c r="CH885" s="40"/>
      <c r="CI885" s="5"/>
      <c r="CK885" s="40"/>
      <c r="CL885" s="5"/>
      <c r="CN885" s="40"/>
      <c r="CO885" s="5"/>
      <c r="CQ885" s="40"/>
      <c r="CR885" s="5"/>
    </row>
    <row r="886">
      <c r="AO886" s="40"/>
      <c r="AP886" s="5"/>
      <c r="AR886" s="40"/>
      <c r="AS886" s="5"/>
      <c r="AU886" s="40"/>
      <c r="AV886" s="5"/>
      <c r="AX886" s="40"/>
      <c r="AY886" s="5"/>
      <c r="BA886" s="40"/>
      <c r="BB886" s="5"/>
      <c r="BD886" s="40"/>
      <c r="BE886" s="5"/>
      <c r="BG886" s="40"/>
      <c r="BH886" s="5"/>
      <c r="BJ886" s="40"/>
      <c r="BK886" s="5"/>
      <c r="BM886" s="40"/>
      <c r="BN886" s="5"/>
      <c r="BP886" s="40"/>
      <c r="BQ886" s="5"/>
      <c r="BS886" s="40"/>
      <c r="BT886" s="5"/>
      <c r="BV886" s="40"/>
      <c r="BW886" s="5"/>
      <c r="BY886" s="40"/>
      <c r="BZ886" s="5"/>
      <c r="CB886" s="40"/>
      <c r="CC886" s="5"/>
      <c r="CE886" s="40"/>
      <c r="CF886" s="5"/>
      <c r="CH886" s="40"/>
      <c r="CI886" s="5"/>
      <c r="CK886" s="40"/>
      <c r="CL886" s="5"/>
      <c r="CN886" s="40"/>
      <c r="CO886" s="5"/>
      <c r="CQ886" s="40"/>
      <c r="CR886" s="5"/>
    </row>
    <row r="887">
      <c r="AO887" s="40"/>
      <c r="AP887" s="5"/>
      <c r="AR887" s="40"/>
      <c r="AS887" s="5"/>
      <c r="AU887" s="40"/>
      <c r="AV887" s="5"/>
      <c r="AX887" s="40"/>
      <c r="AY887" s="5"/>
      <c r="BA887" s="40"/>
      <c r="BB887" s="5"/>
      <c r="BD887" s="40"/>
      <c r="BE887" s="5"/>
      <c r="BG887" s="40"/>
      <c r="BH887" s="5"/>
      <c r="BJ887" s="40"/>
      <c r="BK887" s="5"/>
      <c r="BM887" s="40"/>
      <c r="BN887" s="5"/>
      <c r="BP887" s="40"/>
      <c r="BQ887" s="5"/>
      <c r="BS887" s="40"/>
      <c r="BT887" s="5"/>
      <c r="BV887" s="40"/>
      <c r="BW887" s="5"/>
      <c r="BY887" s="40"/>
      <c r="BZ887" s="5"/>
      <c r="CB887" s="40"/>
      <c r="CC887" s="5"/>
      <c r="CE887" s="40"/>
      <c r="CF887" s="5"/>
      <c r="CH887" s="40"/>
      <c r="CI887" s="5"/>
      <c r="CK887" s="40"/>
      <c r="CL887" s="5"/>
      <c r="CN887" s="40"/>
      <c r="CO887" s="5"/>
      <c r="CQ887" s="40"/>
      <c r="CR887" s="5"/>
    </row>
    <row r="888">
      <c r="AO888" s="40"/>
      <c r="AP888" s="5"/>
      <c r="AR888" s="40"/>
      <c r="AS888" s="5"/>
      <c r="AU888" s="40"/>
      <c r="AV888" s="5"/>
      <c r="AX888" s="40"/>
      <c r="AY888" s="5"/>
      <c r="BA888" s="40"/>
      <c r="BB888" s="5"/>
      <c r="BD888" s="40"/>
      <c r="BE888" s="5"/>
      <c r="BG888" s="40"/>
      <c r="BH888" s="5"/>
      <c r="BJ888" s="40"/>
      <c r="BK888" s="5"/>
      <c r="BM888" s="40"/>
      <c r="BN888" s="5"/>
      <c r="BP888" s="40"/>
      <c r="BQ888" s="5"/>
      <c r="BS888" s="40"/>
      <c r="BT888" s="5"/>
      <c r="BV888" s="40"/>
      <c r="BW888" s="5"/>
      <c r="BY888" s="40"/>
      <c r="BZ888" s="5"/>
      <c r="CB888" s="40"/>
      <c r="CC888" s="5"/>
      <c r="CE888" s="40"/>
      <c r="CF888" s="5"/>
      <c r="CH888" s="40"/>
      <c r="CI888" s="5"/>
      <c r="CK888" s="40"/>
      <c r="CL888" s="5"/>
      <c r="CN888" s="40"/>
      <c r="CO888" s="5"/>
      <c r="CQ888" s="40"/>
      <c r="CR888" s="5"/>
    </row>
    <row r="889">
      <c r="AO889" s="40"/>
      <c r="AP889" s="5"/>
      <c r="AR889" s="40"/>
      <c r="AS889" s="5"/>
      <c r="AU889" s="40"/>
      <c r="AV889" s="5"/>
      <c r="AX889" s="40"/>
      <c r="AY889" s="5"/>
      <c r="BA889" s="40"/>
      <c r="BB889" s="5"/>
      <c r="BD889" s="40"/>
      <c r="BE889" s="5"/>
      <c r="BG889" s="40"/>
      <c r="BH889" s="5"/>
      <c r="BJ889" s="40"/>
      <c r="BK889" s="5"/>
      <c r="BM889" s="40"/>
      <c r="BN889" s="5"/>
      <c r="BP889" s="40"/>
      <c r="BQ889" s="5"/>
      <c r="BS889" s="40"/>
      <c r="BT889" s="5"/>
      <c r="BV889" s="40"/>
      <c r="BW889" s="5"/>
      <c r="BY889" s="40"/>
      <c r="BZ889" s="5"/>
      <c r="CB889" s="40"/>
      <c r="CC889" s="5"/>
      <c r="CE889" s="40"/>
      <c r="CF889" s="5"/>
      <c r="CH889" s="40"/>
      <c r="CI889" s="5"/>
      <c r="CK889" s="40"/>
      <c r="CL889" s="5"/>
      <c r="CN889" s="40"/>
      <c r="CO889" s="5"/>
      <c r="CQ889" s="40"/>
      <c r="CR889" s="5"/>
    </row>
    <row r="890">
      <c r="AO890" s="40"/>
      <c r="AP890" s="5"/>
      <c r="AR890" s="40"/>
      <c r="AS890" s="5"/>
      <c r="AU890" s="40"/>
      <c r="AV890" s="5"/>
      <c r="AX890" s="40"/>
      <c r="AY890" s="5"/>
      <c r="BA890" s="40"/>
      <c r="BB890" s="5"/>
      <c r="BD890" s="40"/>
      <c r="BE890" s="5"/>
      <c r="BG890" s="40"/>
      <c r="BH890" s="5"/>
      <c r="BJ890" s="40"/>
      <c r="BK890" s="5"/>
      <c r="BM890" s="40"/>
      <c r="BN890" s="5"/>
      <c r="BP890" s="40"/>
      <c r="BQ890" s="5"/>
      <c r="BS890" s="40"/>
      <c r="BT890" s="5"/>
      <c r="BV890" s="40"/>
      <c r="BW890" s="5"/>
      <c r="BY890" s="40"/>
      <c r="BZ890" s="5"/>
      <c r="CB890" s="40"/>
      <c r="CC890" s="5"/>
      <c r="CE890" s="40"/>
      <c r="CF890" s="5"/>
      <c r="CH890" s="40"/>
      <c r="CI890" s="5"/>
      <c r="CK890" s="40"/>
      <c r="CL890" s="5"/>
      <c r="CN890" s="40"/>
      <c r="CO890" s="5"/>
      <c r="CQ890" s="40"/>
      <c r="CR890" s="5"/>
    </row>
    <row r="891">
      <c r="AO891" s="40"/>
      <c r="AP891" s="5"/>
      <c r="AR891" s="40"/>
      <c r="AS891" s="5"/>
      <c r="AU891" s="40"/>
      <c r="AV891" s="5"/>
      <c r="AX891" s="40"/>
      <c r="AY891" s="5"/>
      <c r="BA891" s="40"/>
      <c r="BB891" s="5"/>
      <c r="BD891" s="40"/>
      <c r="BE891" s="5"/>
      <c r="BG891" s="40"/>
      <c r="BH891" s="5"/>
      <c r="BJ891" s="40"/>
      <c r="BK891" s="5"/>
      <c r="BM891" s="40"/>
      <c r="BN891" s="5"/>
      <c r="BP891" s="40"/>
      <c r="BQ891" s="5"/>
      <c r="BS891" s="40"/>
      <c r="BT891" s="5"/>
      <c r="BV891" s="40"/>
      <c r="BW891" s="5"/>
      <c r="BY891" s="40"/>
      <c r="BZ891" s="5"/>
      <c r="CB891" s="40"/>
      <c r="CC891" s="5"/>
      <c r="CE891" s="40"/>
      <c r="CF891" s="5"/>
      <c r="CH891" s="40"/>
      <c r="CI891" s="5"/>
      <c r="CK891" s="40"/>
      <c r="CL891" s="5"/>
      <c r="CN891" s="40"/>
      <c r="CO891" s="5"/>
      <c r="CQ891" s="40"/>
      <c r="CR891" s="5"/>
    </row>
    <row r="892">
      <c r="AO892" s="40"/>
      <c r="AP892" s="5"/>
      <c r="AR892" s="40"/>
      <c r="AS892" s="5"/>
      <c r="AU892" s="40"/>
      <c r="AV892" s="5"/>
      <c r="AX892" s="40"/>
      <c r="AY892" s="5"/>
      <c r="BA892" s="40"/>
      <c r="BB892" s="5"/>
      <c r="BD892" s="40"/>
      <c r="BE892" s="5"/>
      <c r="BG892" s="40"/>
      <c r="BH892" s="5"/>
      <c r="BJ892" s="40"/>
      <c r="BK892" s="5"/>
      <c r="BM892" s="40"/>
      <c r="BN892" s="5"/>
      <c r="BP892" s="40"/>
      <c r="BQ892" s="5"/>
      <c r="BS892" s="40"/>
      <c r="BT892" s="5"/>
      <c r="BV892" s="40"/>
      <c r="BW892" s="5"/>
      <c r="BY892" s="40"/>
      <c r="BZ892" s="5"/>
      <c r="CB892" s="40"/>
      <c r="CC892" s="5"/>
      <c r="CE892" s="40"/>
      <c r="CF892" s="5"/>
      <c r="CH892" s="40"/>
      <c r="CI892" s="5"/>
      <c r="CK892" s="40"/>
      <c r="CL892" s="5"/>
      <c r="CN892" s="40"/>
      <c r="CO892" s="5"/>
      <c r="CQ892" s="40"/>
      <c r="CR892" s="5"/>
    </row>
    <row r="893">
      <c r="AO893" s="40"/>
      <c r="AP893" s="5"/>
      <c r="AR893" s="40"/>
      <c r="AS893" s="5"/>
      <c r="AU893" s="40"/>
      <c r="AV893" s="5"/>
      <c r="AX893" s="40"/>
      <c r="AY893" s="5"/>
      <c r="BA893" s="40"/>
      <c r="BB893" s="5"/>
      <c r="BD893" s="40"/>
      <c r="BE893" s="5"/>
      <c r="BG893" s="40"/>
      <c r="BH893" s="5"/>
      <c r="BJ893" s="40"/>
      <c r="BK893" s="5"/>
      <c r="BM893" s="40"/>
      <c r="BN893" s="5"/>
      <c r="BP893" s="40"/>
      <c r="BQ893" s="5"/>
      <c r="BS893" s="40"/>
      <c r="BT893" s="5"/>
      <c r="BV893" s="40"/>
      <c r="BW893" s="5"/>
      <c r="BY893" s="40"/>
      <c r="BZ893" s="5"/>
      <c r="CB893" s="40"/>
      <c r="CC893" s="5"/>
      <c r="CE893" s="40"/>
      <c r="CF893" s="5"/>
      <c r="CH893" s="40"/>
      <c r="CI893" s="5"/>
      <c r="CK893" s="40"/>
      <c r="CL893" s="5"/>
      <c r="CN893" s="40"/>
      <c r="CO893" s="5"/>
      <c r="CQ893" s="40"/>
      <c r="CR893" s="5"/>
    </row>
    <row r="894">
      <c r="AO894" s="40"/>
      <c r="AP894" s="5"/>
      <c r="AR894" s="40"/>
      <c r="AS894" s="5"/>
      <c r="AU894" s="40"/>
      <c r="AV894" s="5"/>
      <c r="AX894" s="40"/>
      <c r="AY894" s="5"/>
      <c r="BA894" s="40"/>
      <c r="BB894" s="5"/>
      <c r="BD894" s="40"/>
      <c r="BE894" s="5"/>
      <c r="BG894" s="40"/>
      <c r="BH894" s="5"/>
      <c r="BJ894" s="40"/>
      <c r="BK894" s="5"/>
      <c r="BM894" s="40"/>
      <c r="BN894" s="5"/>
      <c r="BP894" s="40"/>
      <c r="BQ894" s="5"/>
      <c r="BS894" s="40"/>
      <c r="BT894" s="5"/>
      <c r="BV894" s="40"/>
      <c r="BW894" s="5"/>
      <c r="BY894" s="40"/>
      <c r="BZ894" s="5"/>
      <c r="CB894" s="40"/>
      <c r="CC894" s="5"/>
      <c r="CE894" s="40"/>
      <c r="CF894" s="5"/>
      <c r="CH894" s="40"/>
      <c r="CI894" s="5"/>
      <c r="CK894" s="40"/>
      <c r="CL894" s="5"/>
      <c r="CN894" s="40"/>
      <c r="CO894" s="5"/>
      <c r="CQ894" s="40"/>
      <c r="CR894" s="5"/>
    </row>
    <row r="895">
      <c r="AO895" s="40"/>
      <c r="AP895" s="5"/>
      <c r="AR895" s="40"/>
      <c r="AS895" s="5"/>
      <c r="AU895" s="40"/>
      <c r="AV895" s="5"/>
      <c r="AX895" s="40"/>
      <c r="AY895" s="5"/>
      <c r="BA895" s="40"/>
      <c r="BB895" s="5"/>
      <c r="BD895" s="40"/>
      <c r="BE895" s="5"/>
      <c r="BG895" s="40"/>
      <c r="BH895" s="5"/>
      <c r="BJ895" s="40"/>
      <c r="BK895" s="5"/>
      <c r="BM895" s="40"/>
      <c r="BN895" s="5"/>
      <c r="BP895" s="40"/>
      <c r="BQ895" s="5"/>
      <c r="BS895" s="40"/>
      <c r="BT895" s="5"/>
      <c r="BV895" s="40"/>
      <c r="BW895" s="5"/>
      <c r="BY895" s="40"/>
      <c r="BZ895" s="5"/>
      <c r="CB895" s="40"/>
      <c r="CC895" s="5"/>
      <c r="CE895" s="40"/>
      <c r="CF895" s="5"/>
      <c r="CH895" s="40"/>
      <c r="CI895" s="5"/>
      <c r="CK895" s="40"/>
      <c r="CL895" s="5"/>
      <c r="CN895" s="40"/>
      <c r="CO895" s="5"/>
      <c r="CQ895" s="40"/>
      <c r="CR895" s="5"/>
    </row>
    <row r="896">
      <c r="AO896" s="40"/>
      <c r="AP896" s="5"/>
      <c r="AR896" s="40"/>
      <c r="AS896" s="5"/>
      <c r="AU896" s="40"/>
      <c r="AV896" s="5"/>
      <c r="AX896" s="40"/>
      <c r="AY896" s="5"/>
      <c r="BA896" s="40"/>
      <c r="BB896" s="5"/>
      <c r="BD896" s="40"/>
      <c r="BE896" s="5"/>
      <c r="BG896" s="40"/>
      <c r="BH896" s="5"/>
      <c r="BJ896" s="40"/>
      <c r="BK896" s="5"/>
      <c r="BM896" s="40"/>
      <c r="BN896" s="5"/>
      <c r="BP896" s="40"/>
      <c r="BQ896" s="5"/>
      <c r="BS896" s="40"/>
      <c r="BT896" s="5"/>
      <c r="BV896" s="40"/>
      <c r="BW896" s="5"/>
      <c r="BY896" s="40"/>
      <c r="BZ896" s="5"/>
      <c r="CB896" s="40"/>
      <c r="CC896" s="5"/>
      <c r="CE896" s="40"/>
      <c r="CF896" s="5"/>
      <c r="CH896" s="40"/>
      <c r="CI896" s="5"/>
      <c r="CK896" s="40"/>
      <c r="CL896" s="5"/>
      <c r="CN896" s="40"/>
      <c r="CO896" s="5"/>
      <c r="CQ896" s="40"/>
      <c r="CR896" s="5"/>
    </row>
    <row r="897">
      <c r="AO897" s="40"/>
      <c r="AP897" s="5"/>
      <c r="AR897" s="40"/>
      <c r="AS897" s="5"/>
      <c r="AU897" s="40"/>
      <c r="AV897" s="5"/>
      <c r="AX897" s="40"/>
      <c r="AY897" s="5"/>
      <c r="BA897" s="40"/>
      <c r="BB897" s="5"/>
      <c r="BD897" s="40"/>
      <c r="BE897" s="5"/>
      <c r="BG897" s="40"/>
      <c r="BH897" s="5"/>
      <c r="BJ897" s="40"/>
      <c r="BK897" s="5"/>
      <c r="BM897" s="40"/>
      <c r="BN897" s="5"/>
      <c r="BP897" s="40"/>
      <c r="BQ897" s="5"/>
      <c r="BS897" s="40"/>
      <c r="BT897" s="5"/>
      <c r="BV897" s="40"/>
      <c r="BW897" s="5"/>
      <c r="BY897" s="40"/>
      <c r="BZ897" s="5"/>
      <c r="CB897" s="40"/>
      <c r="CC897" s="5"/>
      <c r="CE897" s="40"/>
      <c r="CF897" s="5"/>
      <c r="CH897" s="40"/>
      <c r="CI897" s="5"/>
      <c r="CK897" s="40"/>
      <c r="CL897" s="5"/>
      <c r="CN897" s="40"/>
      <c r="CO897" s="5"/>
      <c r="CQ897" s="40"/>
      <c r="CR897" s="5"/>
    </row>
    <row r="898">
      <c r="AO898" s="40"/>
      <c r="AP898" s="5"/>
      <c r="AR898" s="40"/>
      <c r="AS898" s="5"/>
      <c r="AU898" s="40"/>
      <c r="AV898" s="5"/>
      <c r="AX898" s="40"/>
      <c r="AY898" s="5"/>
      <c r="BA898" s="40"/>
      <c r="BB898" s="5"/>
      <c r="BD898" s="40"/>
      <c r="BE898" s="5"/>
      <c r="BG898" s="40"/>
      <c r="BH898" s="5"/>
      <c r="BJ898" s="40"/>
      <c r="BK898" s="5"/>
      <c r="BM898" s="40"/>
      <c r="BN898" s="5"/>
      <c r="BP898" s="40"/>
      <c r="BQ898" s="5"/>
      <c r="BS898" s="40"/>
      <c r="BT898" s="5"/>
      <c r="BV898" s="40"/>
      <c r="BW898" s="5"/>
      <c r="BY898" s="40"/>
      <c r="BZ898" s="5"/>
      <c r="CB898" s="40"/>
      <c r="CC898" s="5"/>
      <c r="CE898" s="40"/>
      <c r="CF898" s="5"/>
      <c r="CH898" s="40"/>
      <c r="CI898" s="5"/>
      <c r="CK898" s="40"/>
      <c r="CL898" s="5"/>
      <c r="CN898" s="40"/>
      <c r="CO898" s="5"/>
      <c r="CQ898" s="40"/>
      <c r="CR898" s="5"/>
    </row>
    <row r="899">
      <c r="AO899" s="40"/>
      <c r="AP899" s="5"/>
      <c r="AR899" s="40"/>
      <c r="AS899" s="5"/>
      <c r="AU899" s="40"/>
      <c r="AV899" s="5"/>
      <c r="AX899" s="40"/>
      <c r="AY899" s="5"/>
      <c r="BA899" s="40"/>
      <c r="BB899" s="5"/>
      <c r="BD899" s="40"/>
      <c r="BE899" s="5"/>
      <c r="BG899" s="40"/>
      <c r="BH899" s="5"/>
      <c r="BJ899" s="40"/>
      <c r="BK899" s="5"/>
      <c r="BM899" s="40"/>
      <c r="BN899" s="5"/>
      <c r="BP899" s="40"/>
      <c r="BQ899" s="5"/>
      <c r="BS899" s="40"/>
      <c r="BT899" s="5"/>
      <c r="BV899" s="40"/>
      <c r="BW899" s="5"/>
      <c r="BY899" s="40"/>
      <c r="BZ899" s="5"/>
      <c r="CB899" s="40"/>
      <c r="CC899" s="5"/>
      <c r="CE899" s="40"/>
      <c r="CF899" s="5"/>
      <c r="CH899" s="40"/>
      <c r="CI899" s="5"/>
      <c r="CK899" s="40"/>
      <c r="CL899" s="5"/>
      <c r="CN899" s="40"/>
      <c r="CO899" s="5"/>
      <c r="CQ899" s="40"/>
      <c r="CR899" s="5"/>
    </row>
    <row r="900">
      <c r="AO900" s="40"/>
      <c r="AP900" s="5"/>
      <c r="AR900" s="40"/>
      <c r="AS900" s="5"/>
      <c r="AU900" s="40"/>
      <c r="AV900" s="5"/>
      <c r="AX900" s="40"/>
      <c r="AY900" s="5"/>
      <c r="BA900" s="40"/>
      <c r="BB900" s="5"/>
      <c r="BD900" s="40"/>
      <c r="BE900" s="5"/>
      <c r="BG900" s="40"/>
      <c r="BH900" s="5"/>
      <c r="BJ900" s="40"/>
      <c r="BK900" s="5"/>
      <c r="BM900" s="40"/>
      <c r="BN900" s="5"/>
      <c r="BP900" s="40"/>
      <c r="BQ900" s="5"/>
      <c r="BS900" s="40"/>
      <c r="BT900" s="5"/>
      <c r="BV900" s="40"/>
      <c r="BW900" s="5"/>
      <c r="BY900" s="40"/>
      <c r="BZ900" s="5"/>
      <c r="CB900" s="40"/>
      <c r="CC900" s="5"/>
      <c r="CE900" s="40"/>
      <c r="CF900" s="5"/>
      <c r="CH900" s="40"/>
      <c r="CI900" s="5"/>
      <c r="CK900" s="40"/>
      <c r="CL900" s="5"/>
      <c r="CN900" s="40"/>
      <c r="CO900" s="5"/>
      <c r="CQ900" s="40"/>
      <c r="CR900" s="5"/>
    </row>
    <row r="901">
      <c r="AO901" s="40"/>
      <c r="AP901" s="5"/>
      <c r="AR901" s="40"/>
      <c r="AS901" s="5"/>
      <c r="AU901" s="40"/>
      <c r="AV901" s="5"/>
      <c r="AX901" s="40"/>
      <c r="AY901" s="5"/>
      <c r="BA901" s="40"/>
      <c r="BB901" s="5"/>
      <c r="BD901" s="40"/>
      <c r="BE901" s="5"/>
      <c r="BG901" s="40"/>
      <c r="BH901" s="5"/>
      <c r="BJ901" s="40"/>
      <c r="BK901" s="5"/>
      <c r="BM901" s="40"/>
      <c r="BN901" s="5"/>
      <c r="BP901" s="40"/>
      <c r="BQ901" s="5"/>
      <c r="BS901" s="40"/>
      <c r="BT901" s="5"/>
      <c r="BV901" s="40"/>
      <c r="BW901" s="5"/>
      <c r="BY901" s="40"/>
      <c r="BZ901" s="5"/>
      <c r="CB901" s="40"/>
      <c r="CC901" s="5"/>
      <c r="CE901" s="40"/>
      <c r="CF901" s="5"/>
      <c r="CH901" s="40"/>
      <c r="CI901" s="5"/>
      <c r="CK901" s="40"/>
      <c r="CL901" s="5"/>
      <c r="CN901" s="40"/>
      <c r="CO901" s="5"/>
      <c r="CQ901" s="40"/>
      <c r="CR901" s="5"/>
    </row>
    <row r="902">
      <c r="AO902" s="40"/>
      <c r="AP902" s="5"/>
      <c r="AR902" s="40"/>
      <c r="AS902" s="5"/>
      <c r="AU902" s="40"/>
      <c r="AV902" s="5"/>
      <c r="AX902" s="40"/>
      <c r="AY902" s="5"/>
      <c r="BA902" s="40"/>
      <c r="BB902" s="5"/>
      <c r="BD902" s="40"/>
      <c r="BE902" s="5"/>
      <c r="BG902" s="40"/>
      <c r="BH902" s="5"/>
      <c r="BJ902" s="40"/>
      <c r="BK902" s="5"/>
      <c r="BM902" s="40"/>
      <c r="BN902" s="5"/>
      <c r="BP902" s="40"/>
      <c r="BQ902" s="5"/>
      <c r="BS902" s="40"/>
      <c r="BT902" s="5"/>
      <c r="BV902" s="40"/>
      <c r="BW902" s="5"/>
      <c r="BY902" s="40"/>
      <c r="BZ902" s="5"/>
      <c r="CB902" s="40"/>
      <c r="CC902" s="5"/>
      <c r="CE902" s="40"/>
      <c r="CF902" s="5"/>
      <c r="CH902" s="40"/>
      <c r="CI902" s="5"/>
      <c r="CK902" s="40"/>
      <c r="CL902" s="5"/>
      <c r="CN902" s="40"/>
      <c r="CO902" s="5"/>
      <c r="CQ902" s="40"/>
      <c r="CR902" s="5"/>
    </row>
    <row r="903">
      <c r="AO903" s="40"/>
      <c r="AP903" s="5"/>
      <c r="AR903" s="40"/>
      <c r="AS903" s="5"/>
      <c r="AU903" s="40"/>
      <c r="AV903" s="5"/>
      <c r="AX903" s="40"/>
      <c r="AY903" s="5"/>
      <c r="BA903" s="40"/>
      <c r="BB903" s="5"/>
      <c r="BD903" s="40"/>
      <c r="BE903" s="5"/>
      <c r="BG903" s="40"/>
      <c r="BH903" s="5"/>
      <c r="BJ903" s="40"/>
      <c r="BK903" s="5"/>
      <c r="BM903" s="40"/>
      <c r="BN903" s="5"/>
      <c r="BP903" s="40"/>
      <c r="BQ903" s="5"/>
      <c r="BS903" s="40"/>
      <c r="BT903" s="5"/>
      <c r="BV903" s="40"/>
      <c r="BW903" s="5"/>
      <c r="BY903" s="40"/>
      <c r="BZ903" s="5"/>
      <c r="CB903" s="40"/>
      <c r="CC903" s="5"/>
      <c r="CE903" s="40"/>
      <c r="CF903" s="5"/>
      <c r="CH903" s="40"/>
      <c r="CI903" s="5"/>
      <c r="CK903" s="40"/>
      <c r="CL903" s="5"/>
      <c r="CN903" s="40"/>
      <c r="CO903" s="5"/>
      <c r="CQ903" s="40"/>
      <c r="CR903" s="5"/>
    </row>
    <row r="904">
      <c r="AO904" s="40"/>
      <c r="AP904" s="5"/>
      <c r="AR904" s="40"/>
      <c r="AS904" s="5"/>
      <c r="AU904" s="40"/>
      <c r="AV904" s="5"/>
      <c r="AX904" s="40"/>
      <c r="AY904" s="5"/>
      <c r="BA904" s="40"/>
      <c r="BB904" s="5"/>
      <c r="BD904" s="40"/>
      <c r="BE904" s="5"/>
      <c r="BG904" s="40"/>
      <c r="BH904" s="5"/>
      <c r="BJ904" s="40"/>
      <c r="BK904" s="5"/>
      <c r="BM904" s="40"/>
      <c r="BN904" s="5"/>
      <c r="BP904" s="40"/>
      <c r="BQ904" s="5"/>
      <c r="BS904" s="40"/>
      <c r="BT904" s="5"/>
      <c r="BV904" s="40"/>
      <c r="BW904" s="5"/>
      <c r="BY904" s="40"/>
      <c r="BZ904" s="5"/>
      <c r="CB904" s="40"/>
      <c r="CC904" s="5"/>
      <c r="CE904" s="40"/>
      <c r="CF904" s="5"/>
      <c r="CH904" s="40"/>
      <c r="CI904" s="5"/>
      <c r="CK904" s="40"/>
      <c r="CL904" s="5"/>
      <c r="CN904" s="40"/>
      <c r="CO904" s="5"/>
      <c r="CQ904" s="40"/>
      <c r="CR904" s="5"/>
    </row>
    <row r="905">
      <c r="AO905" s="40"/>
      <c r="AP905" s="5"/>
      <c r="AR905" s="40"/>
      <c r="AS905" s="5"/>
      <c r="AU905" s="40"/>
      <c r="AV905" s="5"/>
      <c r="AX905" s="40"/>
      <c r="AY905" s="5"/>
      <c r="BA905" s="40"/>
      <c r="BB905" s="5"/>
      <c r="BD905" s="40"/>
      <c r="BE905" s="5"/>
      <c r="BG905" s="40"/>
      <c r="BH905" s="5"/>
      <c r="BJ905" s="40"/>
      <c r="BK905" s="5"/>
      <c r="BM905" s="40"/>
      <c r="BN905" s="5"/>
      <c r="BP905" s="40"/>
      <c r="BQ905" s="5"/>
      <c r="BS905" s="40"/>
      <c r="BT905" s="5"/>
      <c r="BV905" s="40"/>
      <c r="BW905" s="5"/>
      <c r="BY905" s="40"/>
      <c r="BZ905" s="5"/>
      <c r="CB905" s="40"/>
      <c r="CC905" s="5"/>
      <c r="CE905" s="40"/>
      <c r="CF905" s="5"/>
      <c r="CH905" s="40"/>
      <c r="CI905" s="5"/>
      <c r="CK905" s="40"/>
      <c r="CL905" s="5"/>
      <c r="CN905" s="40"/>
      <c r="CO905" s="5"/>
      <c r="CQ905" s="40"/>
      <c r="CR905" s="5"/>
    </row>
    <row r="906">
      <c r="AO906" s="40"/>
      <c r="AP906" s="5"/>
      <c r="AR906" s="40"/>
      <c r="AS906" s="5"/>
      <c r="AU906" s="40"/>
      <c r="AV906" s="5"/>
      <c r="AX906" s="40"/>
      <c r="AY906" s="5"/>
      <c r="BA906" s="40"/>
      <c r="BB906" s="5"/>
      <c r="BD906" s="40"/>
      <c r="BE906" s="5"/>
      <c r="BG906" s="40"/>
      <c r="BH906" s="5"/>
      <c r="BJ906" s="40"/>
      <c r="BK906" s="5"/>
      <c r="BM906" s="40"/>
      <c r="BN906" s="5"/>
      <c r="BP906" s="40"/>
      <c r="BQ906" s="5"/>
      <c r="BS906" s="40"/>
      <c r="BT906" s="5"/>
      <c r="BV906" s="40"/>
      <c r="BW906" s="5"/>
      <c r="BY906" s="40"/>
      <c r="BZ906" s="5"/>
      <c r="CB906" s="40"/>
      <c r="CC906" s="5"/>
      <c r="CE906" s="40"/>
      <c r="CF906" s="5"/>
      <c r="CH906" s="40"/>
      <c r="CI906" s="5"/>
      <c r="CK906" s="40"/>
      <c r="CL906" s="5"/>
      <c r="CN906" s="40"/>
      <c r="CO906" s="5"/>
      <c r="CQ906" s="40"/>
      <c r="CR906" s="5"/>
    </row>
    <row r="907">
      <c r="AO907" s="40"/>
      <c r="AP907" s="5"/>
      <c r="AR907" s="40"/>
      <c r="AS907" s="5"/>
      <c r="AU907" s="40"/>
      <c r="AV907" s="5"/>
      <c r="AX907" s="40"/>
      <c r="AY907" s="5"/>
      <c r="BA907" s="40"/>
      <c r="BB907" s="5"/>
      <c r="BD907" s="40"/>
      <c r="BE907" s="5"/>
      <c r="BG907" s="40"/>
      <c r="BH907" s="5"/>
      <c r="BJ907" s="40"/>
      <c r="BK907" s="5"/>
      <c r="BM907" s="40"/>
      <c r="BN907" s="5"/>
      <c r="BP907" s="40"/>
      <c r="BQ907" s="5"/>
      <c r="BS907" s="40"/>
      <c r="BT907" s="5"/>
      <c r="BV907" s="40"/>
      <c r="BW907" s="5"/>
      <c r="BY907" s="40"/>
      <c r="BZ907" s="5"/>
      <c r="CB907" s="40"/>
      <c r="CC907" s="5"/>
      <c r="CE907" s="40"/>
      <c r="CF907" s="5"/>
      <c r="CH907" s="40"/>
      <c r="CI907" s="5"/>
      <c r="CK907" s="40"/>
      <c r="CL907" s="5"/>
      <c r="CN907" s="40"/>
      <c r="CO907" s="5"/>
      <c r="CQ907" s="40"/>
      <c r="CR907" s="5"/>
    </row>
    <row r="908">
      <c r="AO908" s="40"/>
      <c r="AP908" s="5"/>
      <c r="AR908" s="40"/>
      <c r="AS908" s="5"/>
      <c r="AU908" s="40"/>
      <c r="AV908" s="5"/>
      <c r="AX908" s="40"/>
      <c r="AY908" s="5"/>
      <c r="BA908" s="40"/>
      <c r="BB908" s="5"/>
      <c r="BD908" s="40"/>
      <c r="BE908" s="5"/>
      <c r="BG908" s="40"/>
      <c r="BH908" s="5"/>
      <c r="BJ908" s="40"/>
      <c r="BK908" s="5"/>
      <c r="BM908" s="40"/>
      <c r="BN908" s="5"/>
      <c r="BP908" s="40"/>
      <c r="BQ908" s="5"/>
      <c r="BS908" s="40"/>
      <c r="BT908" s="5"/>
      <c r="BV908" s="40"/>
      <c r="BW908" s="5"/>
      <c r="BY908" s="40"/>
      <c r="BZ908" s="5"/>
      <c r="CB908" s="40"/>
      <c r="CC908" s="5"/>
      <c r="CE908" s="40"/>
      <c r="CF908" s="5"/>
      <c r="CH908" s="40"/>
      <c r="CI908" s="5"/>
      <c r="CK908" s="40"/>
      <c r="CL908" s="5"/>
      <c r="CN908" s="40"/>
      <c r="CO908" s="5"/>
      <c r="CQ908" s="40"/>
      <c r="CR908" s="5"/>
    </row>
    <row r="909">
      <c r="AO909" s="40"/>
      <c r="AP909" s="5"/>
      <c r="AR909" s="40"/>
      <c r="AS909" s="5"/>
      <c r="AU909" s="40"/>
      <c r="AV909" s="5"/>
      <c r="AX909" s="40"/>
      <c r="AY909" s="5"/>
      <c r="BA909" s="40"/>
      <c r="BB909" s="5"/>
      <c r="BD909" s="40"/>
      <c r="BE909" s="5"/>
      <c r="BG909" s="40"/>
      <c r="BH909" s="5"/>
      <c r="BJ909" s="40"/>
      <c r="BK909" s="5"/>
      <c r="BM909" s="40"/>
      <c r="BN909" s="5"/>
      <c r="BP909" s="40"/>
      <c r="BQ909" s="5"/>
      <c r="BS909" s="40"/>
      <c r="BT909" s="5"/>
      <c r="BV909" s="40"/>
      <c r="BW909" s="5"/>
      <c r="BY909" s="40"/>
      <c r="BZ909" s="5"/>
      <c r="CB909" s="40"/>
      <c r="CC909" s="5"/>
      <c r="CE909" s="40"/>
      <c r="CF909" s="5"/>
      <c r="CH909" s="40"/>
      <c r="CI909" s="5"/>
      <c r="CK909" s="40"/>
      <c r="CL909" s="5"/>
      <c r="CN909" s="40"/>
      <c r="CO909" s="5"/>
      <c r="CQ909" s="40"/>
      <c r="CR909" s="5"/>
    </row>
    <row r="910">
      <c r="AO910" s="40"/>
      <c r="AP910" s="5"/>
      <c r="AR910" s="40"/>
      <c r="AS910" s="5"/>
      <c r="AU910" s="40"/>
      <c r="AV910" s="5"/>
      <c r="AX910" s="40"/>
      <c r="AY910" s="5"/>
      <c r="BA910" s="40"/>
      <c r="BB910" s="5"/>
      <c r="BD910" s="40"/>
      <c r="BE910" s="5"/>
      <c r="BG910" s="40"/>
      <c r="BH910" s="5"/>
      <c r="BJ910" s="40"/>
      <c r="BK910" s="5"/>
      <c r="BM910" s="40"/>
      <c r="BN910" s="5"/>
      <c r="BP910" s="40"/>
      <c r="BQ910" s="5"/>
      <c r="BS910" s="40"/>
      <c r="BT910" s="5"/>
      <c r="BV910" s="40"/>
      <c r="BW910" s="5"/>
      <c r="BY910" s="40"/>
      <c r="BZ910" s="5"/>
      <c r="CB910" s="40"/>
      <c r="CC910" s="5"/>
      <c r="CE910" s="40"/>
      <c r="CF910" s="5"/>
      <c r="CH910" s="40"/>
      <c r="CI910" s="5"/>
      <c r="CK910" s="40"/>
      <c r="CL910" s="5"/>
      <c r="CN910" s="40"/>
      <c r="CO910" s="5"/>
      <c r="CQ910" s="40"/>
      <c r="CR910" s="5"/>
    </row>
    <row r="911">
      <c r="AO911" s="40"/>
      <c r="AP911" s="5"/>
      <c r="AR911" s="40"/>
      <c r="AS911" s="5"/>
      <c r="AU911" s="40"/>
      <c r="AV911" s="5"/>
      <c r="AX911" s="40"/>
      <c r="AY911" s="5"/>
      <c r="BA911" s="40"/>
      <c r="BB911" s="5"/>
      <c r="BD911" s="40"/>
      <c r="BE911" s="5"/>
      <c r="BG911" s="40"/>
      <c r="BH911" s="5"/>
      <c r="BJ911" s="40"/>
      <c r="BK911" s="5"/>
      <c r="BM911" s="40"/>
      <c r="BN911" s="5"/>
      <c r="BP911" s="40"/>
      <c r="BQ911" s="5"/>
      <c r="BS911" s="40"/>
      <c r="BT911" s="5"/>
      <c r="BV911" s="40"/>
      <c r="BW911" s="5"/>
      <c r="BY911" s="40"/>
      <c r="BZ911" s="5"/>
      <c r="CB911" s="40"/>
      <c r="CC911" s="5"/>
      <c r="CE911" s="40"/>
      <c r="CF911" s="5"/>
      <c r="CH911" s="40"/>
      <c r="CI911" s="5"/>
      <c r="CK911" s="40"/>
      <c r="CL911" s="5"/>
      <c r="CN911" s="40"/>
      <c r="CO911" s="5"/>
      <c r="CQ911" s="40"/>
      <c r="CR911" s="5"/>
    </row>
    <row r="912">
      <c r="AO912" s="40"/>
      <c r="AP912" s="5"/>
      <c r="AR912" s="40"/>
      <c r="AS912" s="5"/>
      <c r="AU912" s="40"/>
      <c r="AV912" s="5"/>
      <c r="AX912" s="40"/>
      <c r="AY912" s="5"/>
      <c r="BA912" s="40"/>
      <c r="BB912" s="5"/>
      <c r="BD912" s="40"/>
      <c r="BE912" s="5"/>
      <c r="BG912" s="40"/>
      <c r="BH912" s="5"/>
      <c r="BJ912" s="40"/>
      <c r="BK912" s="5"/>
      <c r="BM912" s="40"/>
      <c r="BN912" s="5"/>
      <c r="BP912" s="40"/>
      <c r="BQ912" s="5"/>
      <c r="BS912" s="40"/>
      <c r="BT912" s="5"/>
      <c r="BV912" s="40"/>
      <c r="BW912" s="5"/>
      <c r="BY912" s="40"/>
      <c r="BZ912" s="5"/>
      <c r="CB912" s="40"/>
      <c r="CC912" s="5"/>
      <c r="CE912" s="40"/>
      <c r="CF912" s="5"/>
      <c r="CH912" s="40"/>
      <c r="CI912" s="5"/>
      <c r="CK912" s="40"/>
      <c r="CL912" s="5"/>
      <c r="CN912" s="40"/>
      <c r="CO912" s="5"/>
      <c r="CQ912" s="40"/>
      <c r="CR912" s="5"/>
    </row>
    <row r="913">
      <c r="AO913" s="40"/>
      <c r="AP913" s="5"/>
      <c r="AR913" s="40"/>
      <c r="AS913" s="5"/>
      <c r="AU913" s="40"/>
      <c r="AV913" s="5"/>
      <c r="AX913" s="40"/>
      <c r="AY913" s="5"/>
      <c r="BA913" s="40"/>
      <c r="BB913" s="5"/>
      <c r="BD913" s="40"/>
      <c r="BE913" s="5"/>
      <c r="BG913" s="40"/>
      <c r="BH913" s="5"/>
      <c r="BJ913" s="40"/>
      <c r="BK913" s="5"/>
      <c r="BM913" s="40"/>
      <c r="BN913" s="5"/>
      <c r="BP913" s="40"/>
      <c r="BQ913" s="5"/>
      <c r="BS913" s="40"/>
      <c r="BT913" s="5"/>
      <c r="BV913" s="40"/>
      <c r="BW913" s="5"/>
      <c r="BY913" s="40"/>
      <c r="BZ913" s="5"/>
      <c r="CB913" s="40"/>
      <c r="CC913" s="5"/>
      <c r="CE913" s="40"/>
      <c r="CF913" s="5"/>
      <c r="CH913" s="40"/>
      <c r="CI913" s="5"/>
      <c r="CK913" s="40"/>
      <c r="CL913" s="5"/>
      <c r="CN913" s="40"/>
      <c r="CO913" s="5"/>
      <c r="CQ913" s="40"/>
      <c r="CR913" s="5"/>
    </row>
    <row r="914">
      <c r="AO914" s="40"/>
      <c r="AP914" s="5"/>
      <c r="AR914" s="40"/>
      <c r="AS914" s="5"/>
      <c r="AU914" s="40"/>
      <c r="AV914" s="5"/>
      <c r="AX914" s="40"/>
      <c r="AY914" s="5"/>
      <c r="BA914" s="40"/>
      <c r="BB914" s="5"/>
      <c r="BD914" s="40"/>
      <c r="BE914" s="5"/>
      <c r="BG914" s="40"/>
      <c r="BH914" s="5"/>
      <c r="BJ914" s="40"/>
      <c r="BK914" s="5"/>
      <c r="BM914" s="40"/>
      <c r="BN914" s="5"/>
      <c r="BP914" s="40"/>
      <c r="BQ914" s="5"/>
      <c r="BS914" s="40"/>
      <c r="BT914" s="5"/>
      <c r="BV914" s="40"/>
      <c r="BW914" s="5"/>
      <c r="BY914" s="40"/>
      <c r="BZ914" s="5"/>
      <c r="CB914" s="40"/>
      <c r="CC914" s="5"/>
      <c r="CE914" s="40"/>
      <c r="CF914" s="5"/>
      <c r="CH914" s="40"/>
      <c r="CI914" s="5"/>
      <c r="CK914" s="40"/>
      <c r="CL914" s="5"/>
      <c r="CN914" s="40"/>
      <c r="CO914" s="5"/>
      <c r="CQ914" s="40"/>
      <c r="CR914" s="5"/>
    </row>
    <row r="915">
      <c r="AO915" s="40"/>
      <c r="AP915" s="5"/>
      <c r="AR915" s="40"/>
      <c r="AS915" s="5"/>
      <c r="AU915" s="40"/>
      <c r="AV915" s="5"/>
      <c r="AX915" s="40"/>
      <c r="AY915" s="5"/>
      <c r="BA915" s="40"/>
      <c r="BB915" s="5"/>
      <c r="BD915" s="40"/>
      <c r="BE915" s="5"/>
      <c r="BG915" s="40"/>
      <c r="BH915" s="5"/>
      <c r="BJ915" s="40"/>
      <c r="BK915" s="5"/>
      <c r="BM915" s="40"/>
      <c r="BN915" s="5"/>
      <c r="BP915" s="40"/>
      <c r="BQ915" s="5"/>
      <c r="BS915" s="40"/>
      <c r="BT915" s="5"/>
      <c r="BV915" s="40"/>
      <c r="BW915" s="5"/>
      <c r="BY915" s="40"/>
      <c r="BZ915" s="5"/>
      <c r="CB915" s="40"/>
      <c r="CC915" s="5"/>
      <c r="CE915" s="40"/>
      <c r="CF915" s="5"/>
      <c r="CH915" s="40"/>
      <c r="CI915" s="5"/>
      <c r="CK915" s="40"/>
      <c r="CL915" s="5"/>
      <c r="CN915" s="40"/>
      <c r="CO915" s="5"/>
      <c r="CQ915" s="40"/>
      <c r="CR915" s="5"/>
    </row>
    <row r="916">
      <c r="AO916" s="40"/>
      <c r="AP916" s="5"/>
      <c r="AR916" s="40"/>
      <c r="AS916" s="5"/>
      <c r="AU916" s="40"/>
      <c r="AV916" s="5"/>
      <c r="AX916" s="40"/>
      <c r="AY916" s="5"/>
      <c r="BA916" s="40"/>
      <c r="BB916" s="5"/>
      <c r="BD916" s="40"/>
      <c r="BE916" s="5"/>
      <c r="BG916" s="40"/>
      <c r="BH916" s="5"/>
      <c r="BJ916" s="40"/>
      <c r="BK916" s="5"/>
      <c r="BM916" s="40"/>
      <c r="BN916" s="5"/>
      <c r="BP916" s="40"/>
      <c r="BQ916" s="5"/>
      <c r="BS916" s="40"/>
      <c r="BT916" s="5"/>
      <c r="BV916" s="40"/>
      <c r="BW916" s="5"/>
      <c r="BY916" s="40"/>
      <c r="BZ916" s="5"/>
      <c r="CB916" s="40"/>
      <c r="CC916" s="5"/>
      <c r="CE916" s="40"/>
      <c r="CF916" s="5"/>
      <c r="CH916" s="40"/>
      <c r="CI916" s="5"/>
      <c r="CK916" s="40"/>
      <c r="CL916" s="5"/>
      <c r="CN916" s="40"/>
      <c r="CO916" s="5"/>
      <c r="CQ916" s="40"/>
      <c r="CR916" s="5"/>
    </row>
    <row r="917">
      <c r="AO917" s="40"/>
      <c r="AP917" s="5"/>
      <c r="AR917" s="40"/>
      <c r="AS917" s="5"/>
      <c r="AU917" s="40"/>
      <c r="AV917" s="5"/>
      <c r="AX917" s="40"/>
      <c r="AY917" s="5"/>
      <c r="BA917" s="40"/>
      <c r="BB917" s="5"/>
      <c r="BD917" s="40"/>
      <c r="BE917" s="5"/>
      <c r="BG917" s="40"/>
      <c r="BH917" s="5"/>
      <c r="BJ917" s="40"/>
      <c r="BK917" s="5"/>
      <c r="BM917" s="40"/>
      <c r="BN917" s="5"/>
      <c r="BP917" s="40"/>
      <c r="BQ917" s="5"/>
      <c r="BS917" s="40"/>
      <c r="BT917" s="5"/>
      <c r="BV917" s="40"/>
      <c r="BW917" s="5"/>
      <c r="BY917" s="40"/>
      <c r="BZ917" s="5"/>
      <c r="CB917" s="40"/>
      <c r="CC917" s="5"/>
      <c r="CE917" s="40"/>
      <c r="CF917" s="5"/>
      <c r="CH917" s="40"/>
      <c r="CI917" s="5"/>
      <c r="CK917" s="40"/>
      <c r="CL917" s="5"/>
      <c r="CN917" s="40"/>
      <c r="CO917" s="5"/>
      <c r="CQ917" s="40"/>
      <c r="CR917" s="5"/>
    </row>
    <row r="918">
      <c r="AO918" s="40"/>
      <c r="AP918" s="5"/>
      <c r="AR918" s="40"/>
      <c r="AS918" s="5"/>
      <c r="AU918" s="40"/>
      <c r="AV918" s="5"/>
      <c r="AX918" s="40"/>
      <c r="AY918" s="5"/>
      <c r="BA918" s="40"/>
      <c r="BB918" s="5"/>
      <c r="BD918" s="40"/>
      <c r="BE918" s="5"/>
      <c r="BG918" s="40"/>
      <c r="BH918" s="5"/>
      <c r="BJ918" s="40"/>
      <c r="BK918" s="5"/>
      <c r="BM918" s="40"/>
      <c r="BN918" s="5"/>
      <c r="BP918" s="40"/>
      <c r="BQ918" s="5"/>
      <c r="BS918" s="40"/>
      <c r="BT918" s="5"/>
      <c r="BV918" s="40"/>
      <c r="BW918" s="5"/>
      <c r="BY918" s="40"/>
      <c r="BZ918" s="5"/>
      <c r="CB918" s="40"/>
      <c r="CC918" s="5"/>
      <c r="CE918" s="40"/>
      <c r="CF918" s="5"/>
      <c r="CH918" s="40"/>
      <c r="CI918" s="5"/>
      <c r="CK918" s="40"/>
      <c r="CL918" s="5"/>
      <c r="CN918" s="40"/>
      <c r="CO918" s="5"/>
      <c r="CQ918" s="40"/>
      <c r="CR918" s="5"/>
    </row>
    <row r="919">
      <c r="AO919" s="40"/>
      <c r="AP919" s="5"/>
      <c r="AR919" s="40"/>
      <c r="AS919" s="5"/>
      <c r="AU919" s="40"/>
      <c r="AV919" s="5"/>
      <c r="AX919" s="40"/>
      <c r="AY919" s="5"/>
      <c r="BA919" s="40"/>
      <c r="BB919" s="5"/>
      <c r="BD919" s="40"/>
      <c r="BE919" s="5"/>
      <c r="BG919" s="40"/>
      <c r="BH919" s="5"/>
      <c r="BJ919" s="40"/>
      <c r="BK919" s="5"/>
      <c r="BM919" s="40"/>
      <c r="BN919" s="5"/>
      <c r="BP919" s="40"/>
      <c r="BQ919" s="5"/>
      <c r="BS919" s="40"/>
      <c r="BT919" s="5"/>
      <c r="BV919" s="40"/>
      <c r="BW919" s="5"/>
      <c r="BY919" s="40"/>
      <c r="BZ919" s="5"/>
      <c r="CB919" s="40"/>
      <c r="CC919" s="5"/>
      <c r="CE919" s="40"/>
      <c r="CF919" s="5"/>
      <c r="CH919" s="40"/>
      <c r="CI919" s="5"/>
      <c r="CK919" s="40"/>
      <c r="CL919" s="5"/>
      <c r="CN919" s="40"/>
      <c r="CO919" s="5"/>
      <c r="CQ919" s="40"/>
      <c r="CR919" s="5"/>
    </row>
  </sheetData>
  <mergeCells count="34">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hyperlinks>
    <hyperlink r:id="rId1" ref="B18"/>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44">
        <v>0.0</v>
      </c>
      <c r="B2" s="44">
        <v>1.623676616E9</v>
      </c>
      <c r="C2" s="40">
        <f>IFERROR(__xludf.DUMMYFUNCTION("INDEX(SPLIT(B2, char(10)), 0, 1)/86400+date(1970,1,1)"),44361.55342592593)</f>
        <v>44361.55343</v>
      </c>
      <c r="D2" s="44" t="s">
        <v>174</v>
      </c>
      <c r="E2" s="44" t="s">
        <v>175</v>
      </c>
      <c r="F2" s="44" t="s">
        <v>862</v>
      </c>
    </row>
    <row r="3">
      <c r="A3" s="44">
        <v>1.0</v>
      </c>
      <c r="B3" s="44">
        <v>1.623676789E9</v>
      </c>
      <c r="C3" s="40">
        <f>IFERROR(__xludf.DUMMYFUNCTION("INDEX(SPLIT(B3, char(10)), 0, 1)/86400+date(1970,1,1)"),44361.55542824074)</f>
        <v>44361.55543</v>
      </c>
      <c r="D3" s="44" t="s">
        <v>103</v>
      </c>
      <c r="E3" s="44" t="s">
        <v>863</v>
      </c>
      <c r="F3" s="44" t="s">
        <v>864</v>
      </c>
    </row>
    <row r="4">
      <c r="A4" s="44">
        <v>2.0</v>
      </c>
      <c r="B4" s="44">
        <v>1.62367697E9</v>
      </c>
      <c r="C4" s="40">
        <f>IFERROR(__xludf.DUMMYFUNCTION("INDEX(SPLIT(B4, char(10)), 0, 1)/86400+date(1970,1,1)"),44361.55752314815)</f>
        <v>44361.55752</v>
      </c>
      <c r="D4" s="44" t="s">
        <v>90</v>
      </c>
      <c r="E4" s="44" t="s">
        <v>865</v>
      </c>
      <c r="F4" s="44" t="s">
        <v>866</v>
      </c>
    </row>
    <row r="5">
      <c r="A5" s="44">
        <v>3.0</v>
      </c>
      <c r="B5" s="44">
        <v>1.623677587E9</v>
      </c>
      <c r="C5" s="40">
        <f>IFERROR(__xludf.DUMMYFUNCTION("INDEX(SPLIT(B5, char(10)), 0, 1)/86400+date(1970,1,1)"),44361.564664351856)</f>
        <v>44361.56466</v>
      </c>
      <c r="D5" s="44" t="s">
        <v>174</v>
      </c>
      <c r="E5" s="44" t="s">
        <v>175</v>
      </c>
      <c r="F5" s="44" t="s">
        <v>867</v>
      </c>
    </row>
    <row r="6">
      <c r="A6" s="44">
        <v>4.0</v>
      </c>
      <c r="B6" s="44">
        <v>1.623678144E9</v>
      </c>
      <c r="C6" s="40">
        <f>IFERROR(__xludf.DUMMYFUNCTION("INDEX(SPLIT(B6, char(10)), 0, 1)/86400+date(1970,1,1)"),44361.571111111116)</f>
        <v>44361.57111</v>
      </c>
      <c r="D6" s="44" t="s">
        <v>93</v>
      </c>
      <c r="E6" s="44" t="s">
        <v>868</v>
      </c>
      <c r="F6" s="44" t="s">
        <v>869</v>
      </c>
    </row>
    <row r="7">
      <c r="A7" s="44">
        <v>4.0</v>
      </c>
      <c r="B7" s="44">
        <v>1.623678171E9</v>
      </c>
      <c r="C7" s="40">
        <f>IFERROR(__xludf.DUMMYFUNCTION("INDEX(SPLIT(B7, char(10)), 0, 1)/86400+date(1970,1,1)"),44361.57142361111)</f>
        <v>44361.57142</v>
      </c>
      <c r="D7" s="44" t="s">
        <v>131</v>
      </c>
      <c r="E7" s="44" t="s">
        <v>870</v>
      </c>
      <c r="F7" s="44" t="s">
        <v>871</v>
      </c>
    </row>
    <row r="8">
      <c r="A8" s="44">
        <v>4.0</v>
      </c>
      <c r="B8" s="44">
        <v>1.623678176E9</v>
      </c>
      <c r="C8" s="40">
        <f>IFERROR(__xludf.DUMMYFUNCTION("INDEX(SPLIT(B8, char(10)), 0, 1)/86400+date(1970,1,1)"),44361.571481481486)</f>
        <v>44361.57148</v>
      </c>
      <c r="D8" s="44" t="s">
        <v>96</v>
      </c>
      <c r="E8" s="44" t="s">
        <v>872</v>
      </c>
      <c r="F8" s="44" t="s">
        <v>873</v>
      </c>
    </row>
    <row r="9">
      <c r="A9" s="44">
        <v>4.0</v>
      </c>
      <c r="B9" s="44">
        <v>1.623678185E9</v>
      </c>
      <c r="C9" s="40">
        <f>IFERROR(__xludf.DUMMYFUNCTION("INDEX(SPLIT(B9, char(10)), 0, 1)/86400+date(1970,1,1)"),44361.57158564815)</f>
        <v>44361.57159</v>
      </c>
      <c r="D9" s="44" t="s">
        <v>103</v>
      </c>
      <c r="E9" s="44" t="s">
        <v>874</v>
      </c>
      <c r="F9" s="44" t="s">
        <v>875</v>
      </c>
    </row>
    <row r="10">
      <c r="A10" s="44">
        <v>4.0</v>
      </c>
      <c r="B10" s="44">
        <v>1.623678219E9</v>
      </c>
      <c r="C10" s="40">
        <f>IFERROR(__xludf.DUMMYFUNCTION("INDEX(SPLIT(B10, char(10)), 0, 1)/86400+date(1970,1,1)"),44361.57197916666)</f>
        <v>44361.57198</v>
      </c>
      <c r="D10" s="44" t="s">
        <v>174</v>
      </c>
      <c r="E10" s="44" t="s">
        <v>876</v>
      </c>
      <c r="F10" s="44" t="s">
        <v>877</v>
      </c>
    </row>
    <row r="11">
      <c r="A11" s="44">
        <v>5.0</v>
      </c>
      <c r="B11" s="44">
        <v>1.623678248E9</v>
      </c>
      <c r="C11" s="40">
        <f>IFERROR(__xludf.DUMMYFUNCTION("INDEX(SPLIT(B11, char(10)), 0, 1)/86400+date(1970,1,1)"),44361.57231481481)</f>
        <v>44361.57231</v>
      </c>
      <c r="D11" s="44" t="s">
        <v>90</v>
      </c>
      <c r="E11" s="44" t="s">
        <v>878</v>
      </c>
      <c r="F11" s="44" t="s">
        <v>879</v>
      </c>
    </row>
    <row r="12">
      <c r="A12" s="44">
        <v>5.0</v>
      </c>
      <c r="B12" s="44">
        <v>1.62367826E9</v>
      </c>
      <c r="C12" s="40">
        <f>IFERROR(__xludf.DUMMYFUNCTION("INDEX(SPLIT(B12, char(10)), 0, 1)/86400+date(1970,1,1)"),44361.5724537037)</f>
        <v>44361.57245</v>
      </c>
      <c r="D12" s="44" t="s">
        <v>81</v>
      </c>
      <c r="E12" s="44" t="s">
        <v>880</v>
      </c>
      <c r="F12" s="44" t="s">
        <v>881</v>
      </c>
    </row>
    <row r="13">
      <c r="A13" s="44">
        <v>6.0</v>
      </c>
      <c r="B13" s="44">
        <v>1.623678442E9</v>
      </c>
      <c r="C13" s="40">
        <f>IFERROR(__xludf.DUMMYFUNCTION("INDEX(SPLIT(B13, char(10)), 0, 1)/86400+date(1970,1,1)"),44361.57456018518)</f>
        <v>44361.57456</v>
      </c>
      <c r="D13" s="44" t="s">
        <v>124</v>
      </c>
      <c r="E13" s="44" t="s">
        <v>882</v>
      </c>
      <c r="F13" s="44" t="s">
        <v>883</v>
      </c>
    </row>
    <row r="14">
      <c r="A14" s="44">
        <v>6.0</v>
      </c>
      <c r="B14" s="44">
        <v>1.623678448E9</v>
      </c>
      <c r="C14" s="40">
        <f>IFERROR(__xludf.DUMMYFUNCTION("INDEX(SPLIT(B14, char(10)), 0, 1)/86400+date(1970,1,1)"),44361.57462962963)</f>
        <v>44361.57463</v>
      </c>
      <c r="D14" s="44" t="s">
        <v>93</v>
      </c>
      <c r="E14" s="44" t="s">
        <v>884</v>
      </c>
      <c r="F14" s="44" t="s">
        <v>885</v>
      </c>
    </row>
    <row r="15">
      <c r="A15" s="44">
        <v>6.0</v>
      </c>
      <c r="B15" s="44">
        <v>1.623678485E9</v>
      </c>
      <c r="C15" s="40">
        <f>IFERROR(__xludf.DUMMYFUNCTION("INDEX(SPLIT(B15, char(10)), 0, 1)/86400+date(1970,1,1)"),44361.575057870374)</f>
        <v>44361.57506</v>
      </c>
      <c r="D15" s="44" t="s">
        <v>81</v>
      </c>
      <c r="E15" s="44" t="s">
        <v>886</v>
      </c>
      <c r="F15" s="44" t="s">
        <v>887</v>
      </c>
    </row>
    <row r="16">
      <c r="A16" s="44">
        <v>7.0</v>
      </c>
      <c r="B16" s="44">
        <v>1.623678552E9</v>
      </c>
      <c r="C16" s="40">
        <f>IFERROR(__xludf.DUMMYFUNCTION("INDEX(SPLIT(B16, char(10)), 0, 1)/86400+date(1970,1,1)"),44361.575833333336)</f>
        <v>44361.57583</v>
      </c>
      <c r="D16" s="44" t="s">
        <v>93</v>
      </c>
      <c r="E16" s="44" t="s">
        <v>888</v>
      </c>
      <c r="F16" s="44" t="s">
        <v>889</v>
      </c>
    </row>
    <row r="17">
      <c r="A17" s="44">
        <v>8.0</v>
      </c>
      <c r="B17" s="44">
        <v>1.623678656E9</v>
      </c>
      <c r="C17" s="40">
        <f>IFERROR(__xludf.DUMMYFUNCTION("INDEX(SPLIT(B17, char(10)), 0, 1)/86400+date(1970,1,1)"),44361.57703703704)</f>
        <v>44361.57704</v>
      </c>
      <c r="D17" s="44" t="s">
        <v>93</v>
      </c>
      <c r="E17" s="44" t="s">
        <v>160</v>
      </c>
      <c r="F17" s="44" t="s">
        <v>890</v>
      </c>
    </row>
    <row r="18">
      <c r="A18" s="44">
        <v>8.0</v>
      </c>
      <c r="B18" s="44">
        <v>1.623678697E9</v>
      </c>
      <c r="C18" s="40">
        <f>IFERROR(__xludf.DUMMYFUNCTION("INDEX(SPLIT(B18, char(10)), 0, 1)/86400+date(1970,1,1)"),44361.57751157407)</f>
        <v>44361.57751</v>
      </c>
      <c r="D18" s="44" t="s">
        <v>124</v>
      </c>
      <c r="E18" s="44" t="s">
        <v>891</v>
      </c>
      <c r="F18" s="44" t="s">
        <v>892</v>
      </c>
    </row>
    <row r="19">
      <c r="A19" s="44">
        <v>9.0</v>
      </c>
      <c r="B19" s="44">
        <v>1.623679368E9</v>
      </c>
      <c r="C19" s="40">
        <f>IFERROR(__xludf.DUMMYFUNCTION("INDEX(SPLIT(B19, char(10)), 0, 1)/86400+date(1970,1,1)"),44361.585277777776)</f>
        <v>44361.58528</v>
      </c>
      <c r="D19" s="44" t="s">
        <v>96</v>
      </c>
      <c r="E19" s="44" t="s">
        <v>893</v>
      </c>
      <c r="F19" s="44" t="s">
        <v>894</v>
      </c>
    </row>
    <row r="20">
      <c r="A20" s="44">
        <v>10.0</v>
      </c>
      <c r="B20" s="44">
        <v>1.623679565E9</v>
      </c>
      <c r="C20" s="40">
        <f>IFERROR(__xludf.DUMMYFUNCTION("INDEX(SPLIT(B20, char(10)), 0, 1)/86400+date(1970,1,1)"),44361.58755787037)</f>
        <v>44361.58756</v>
      </c>
      <c r="D20" s="44" t="s">
        <v>370</v>
      </c>
      <c r="E20" s="44" t="s">
        <v>895</v>
      </c>
      <c r="F20" s="44" t="s">
        <v>896</v>
      </c>
    </row>
    <row r="21">
      <c r="A21" s="44">
        <v>10.0</v>
      </c>
      <c r="B21" s="44">
        <v>1.623679575E9</v>
      </c>
      <c r="C21" s="40">
        <f>IFERROR(__xludf.DUMMYFUNCTION("INDEX(SPLIT(B21, char(10)), 0, 1)/86400+date(1970,1,1)"),44361.58767361111)</f>
        <v>44361.58767</v>
      </c>
      <c r="D21" s="44" t="s">
        <v>93</v>
      </c>
      <c r="E21" s="44" t="s">
        <v>897</v>
      </c>
      <c r="F21" s="44" t="s">
        <v>898</v>
      </c>
    </row>
    <row r="22">
      <c r="A22" s="44">
        <v>11.0</v>
      </c>
      <c r="B22" s="44">
        <v>1.623679682E9</v>
      </c>
      <c r="C22" s="40">
        <f>IFERROR(__xludf.DUMMYFUNCTION("INDEX(SPLIT(B22, char(10)), 0, 1)/86400+date(1970,1,1)"),44361.58891203704)</f>
        <v>44361.58891</v>
      </c>
      <c r="D22" s="44" t="s">
        <v>93</v>
      </c>
      <c r="E22" s="44" t="s">
        <v>175</v>
      </c>
      <c r="F22" s="44" t="s">
        <v>899</v>
      </c>
    </row>
    <row r="23">
      <c r="A23" s="44">
        <v>12.0</v>
      </c>
      <c r="B23" s="44">
        <v>1.623679792E9</v>
      </c>
      <c r="C23" s="40">
        <f>IFERROR(__xludf.DUMMYFUNCTION("INDEX(SPLIT(B23, char(10)), 0, 1)/86400+date(1970,1,1)"),44361.59018518518)</f>
        <v>44361.59019</v>
      </c>
      <c r="D23" s="44" t="s">
        <v>90</v>
      </c>
      <c r="E23" s="44" t="s">
        <v>900</v>
      </c>
      <c r="F23" s="44" t="s">
        <v>901</v>
      </c>
    </row>
    <row r="24">
      <c r="A24" s="44">
        <v>12.0</v>
      </c>
      <c r="B24" s="44">
        <v>1.623679806E9</v>
      </c>
      <c r="C24" s="40">
        <f>IFERROR(__xludf.DUMMYFUNCTION("INDEX(SPLIT(B24, char(10)), 0, 1)/86400+date(1970,1,1)"),44361.59034722223)</f>
        <v>44361.59035</v>
      </c>
      <c r="D24" s="44" t="s">
        <v>131</v>
      </c>
      <c r="E24" s="44" t="s">
        <v>194</v>
      </c>
      <c r="F24" s="44" t="s">
        <v>902</v>
      </c>
    </row>
    <row r="25">
      <c r="A25" s="44">
        <v>12.0</v>
      </c>
      <c r="B25" s="44">
        <v>1.623679808E9</v>
      </c>
      <c r="C25" s="40">
        <f>IFERROR(__xludf.DUMMYFUNCTION("INDEX(SPLIT(B25, char(10)), 0, 1)/86400+date(1970,1,1)"),44361.590370370366)</f>
        <v>44361.59037</v>
      </c>
      <c r="D25" s="44" t="s">
        <v>96</v>
      </c>
      <c r="E25" s="44" t="s">
        <v>903</v>
      </c>
      <c r="F25" s="44" t="s">
        <v>904</v>
      </c>
    </row>
    <row r="26">
      <c r="A26" s="44">
        <v>12.0</v>
      </c>
      <c r="B26" s="44">
        <v>1.623679828E9</v>
      </c>
      <c r="C26" s="40">
        <f>IFERROR(__xludf.DUMMYFUNCTION("INDEX(SPLIT(B26, char(10)), 0, 1)/86400+date(1970,1,1)"),44361.59060185185)</f>
        <v>44361.5906</v>
      </c>
      <c r="D26" s="44" t="s">
        <v>174</v>
      </c>
      <c r="E26" s="44" t="s">
        <v>905</v>
      </c>
      <c r="F26" s="44" t="s">
        <v>906</v>
      </c>
    </row>
    <row r="27">
      <c r="A27" s="44">
        <v>12.0</v>
      </c>
      <c r="B27" s="44">
        <v>1.623679871E9</v>
      </c>
      <c r="C27" s="40">
        <f>IFERROR(__xludf.DUMMYFUNCTION("INDEX(SPLIT(B27, char(10)), 0, 1)/86400+date(1970,1,1)"),44361.591099537036)</f>
        <v>44361.5911</v>
      </c>
      <c r="D27" s="44" t="s">
        <v>124</v>
      </c>
      <c r="E27" s="44" t="s">
        <v>907</v>
      </c>
      <c r="F27" s="44" t="s">
        <v>908</v>
      </c>
    </row>
    <row r="28">
      <c r="A28" s="44">
        <v>13.0</v>
      </c>
      <c r="B28" s="44">
        <v>1.623679893E9</v>
      </c>
      <c r="C28" s="40">
        <f>IFERROR(__xludf.DUMMYFUNCTION("INDEX(SPLIT(B28, char(10)), 0, 1)/86400+date(1970,1,1)"),44361.59135416667)</f>
        <v>44361.59135</v>
      </c>
      <c r="D28" s="44" t="s">
        <v>81</v>
      </c>
      <c r="E28" s="44" t="s">
        <v>878</v>
      </c>
      <c r="F28" s="44" t="s">
        <v>909</v>
      </c>
    </row>
    <row r="29">
      <c r="A29" s="44">
        <v>14.0</v>
      </c>
      <c r="B29" s="44">
        <v>1.623680004E9</v>
      </c>
      <c r="C29" s="40">
        <f>IFERROR(__xludf.DUMMYFUNCTION("INDEX(SPLIT(B29, char(10)), 0, 1)/86400+date(1970,1,1)"),44361.59263888889)</f>
        <v>44361.59264</v>
      </c>
      <c r="D29" s="44" t="s">
        <v>151</v>
      </c>
      <c r="E29" s="44" t="s">
        <v>897</v>
      </c>
      <c r="F29" s="44" t="s">
        <v>910</v>
      </c>
    </row>
    <row r="30">
      <c r="A30" s="44">
        <v>14.0</v>
      </c>
      <c r="B30" s="44">
        <v>1.62368002E9</v>
      </c>
      <c r="C30" s="40">
        <f>IFERROR(__xludf.DUMMYFUNCTION("INDEX(SPLIT(B30, char(10)), 0, 1)/86400+date(1970,1,1)"),44361.592824074076)</f>
        <v>44361.59282</v>
      </c>
      <c r="D30" s="44" t="s">
        <v>81</v>
      </c>
      <c r="E30" s="44" t="s">
        <v>911</v>
      </c>
      <c r="F30" s="44" t="s">
        <v>912</v>
      </c>
    </row>
    <row r="31">
      <c r="A31" s="44">
        <v>15.0</v>
      </c>
      <c r="B31" s="44">
        <v>1.623680134E9</v>
      </c>
      <c r="C31" s="40">
        <f>IFERROR(__xludf.DUMMYFUNCTION("INDEX(SPLIT(B31, char(10)), 0, 1)/86400+date(1970,1,1)"),44361.59414351852)</f>
        <v>44361.59414</v>
      </c>
      <c r="D31" s="44" t="s">
        <v>124</v>
      </c>
      <c r="E31" s="44" t="s">
        <v>913</v>
      </c>
      <c r="F31" s="44" t="s">
        <v>914</v>
      </c>
    </row>
    <row r="32">
      <c r="A32" s="44">
        <v>15.0</v>
      </c>
      <c r="B32" s="44">
        <v>1.623680209E9</v>
      </c>
      <c r="C32" s="40">
        <f>IFERROR(__xludf.DUMMYFUNCTION("INDEX(SPLIT(B32, char(10)), 0, 1)/86400+date(1970,1,1)"),44361.59501157407)</f>
        <v>44361.59501</v>
      </c>
      <c r="D32" s="44" t="s">
        <v>136</v>
      </c>
      <c r="E32" s="44" t="s">
        <v>915</v>
      </c>
      <c r="F32" s="44" t="s">
        <v>916</v>
      </c>
    </row>
    <row r="33">
      <c r="A33" s="44">
        <v>16.0</v>
      </c>
      <c r="B33" s="44">
        <v>1.623680289E9</v>
      </c>
      <c r="C33" s="40">
        <f>IFERROR(__xludf.DUMMYFUNCTION("INDEX(SPLIT(B33, char(10)), 0, 1)/86400+date(1970,1,1)"),44361.595937499995)</f>
        <v>44361.59594</v>
      </c>
      <c r="D33" s="44" t="s">
        <v>174</v>
      </c>
      <c r="E33" s="44" t="s">
        <v>175</v>
      </c>
      <c r="F33" s="44" t="s">
        <v>917</v>
      </c>
    </row>
    <row r="34">
      <c r="A34" s="44">
        <v>16.0</v>
      </c>
      <c r="B34" s="44">
        <v>1.623680332E9</v>
      </c>
      <c r="C34" s="40">
        <f>IFERROR(__xludf.DUMMYFUNCTION("INDEX(SPLIT(B34, char(10)), 0, 1)/86400+date(1970,1,1)"),44361.59643518519)</f>
        <v>44361.59644</v>
      </c>
      <c r="D34" s="44" t="s">
        <v>136</v>
      </c>
      <c r="E34" s="44" t="s">
        <v>918</v>
      </c>
      <c r="F34" s="44" t="s">
        <v>919</v>
      </c>
    </row>
    <row r="35">
      <c r="A35" s="44">
        <v>17.0</v>
      </c>
      <c r="B35" s="44">
        <v>1.623680447E9</v>
      </c>
      <c r="C35" s="40">
        <f>IFERROR(__xludf.DUMMYFUNCTION("INDEX(SPLIT(B35, char(10)), 0, 1)/86400+date(1970,1,1)"),44361.597766203704)</f>
        <v>44361.59777</v>
      </c>
      <c r="D35" s="44" t="s">
        <v>174</v>
      </c>
      <c r="E35" s="44" t="s">
        <v>920</v>
      </c>
      <c r="F35" s="44" t="s">
        <v>921</v>
      </c>
    </row>
    <row r="36">
      <c r="A36" s="44">
        <v>17.0</v>
      </c>
      <c r="B36" s="44">
        <v>1.623680505E9</v>
      </c>
      <c r="C36" s="40">
        <f>IFERROR(__xludf.DUMMYFUNCTION("INDEX(SPLIT(B36, char(10)), 0, 1)/86400+date(1970,1,1)"),44361.5984375)</f>
        <v>44361.59844</v>
      </c>
      <c r="D36" s="44" t="s">
        <v>81</v>
      </c>
      <c r="E36" s="44" t="s">
        <v>922</v>
      </c>
      <c r="F36" s="44" t="s">
        <v>923</v>
      </c>
    </row>
    <row r="37">
      <c r="A37" s="44">
        <v>18.0</v>
      </c>
      <c r="B37" s="44">
        <v>1.623680617E9</v>
      </c>
      <c r="C37" s="40">
        <f>IFERROR(__xludf.DUMMYFUNCTION("INDEX(SPLIT(B37, char(10)), 0, 1)/86400+date(1970,1,1)"),44361.5997337963)</f>
        <v>44361.59973</v>
      </c>
      <c r="D37" s="44" t="s">
        <v>90</v>
      </c>
      <c r="E37" s="44" t="s">
        <v>922</v>
      </c>
      <c r="F37" s="44" t="s">
        <v>924</v>
      </c>
    </row>
    <row r="38">
      <c r="A38" s="44">
        <v>18.0</v>
      </c>
      <c r="B38" s="44">
        <v>1.623680632E9</v>
      </c>
      <c r="C38" s="40">
        <f>IFERROR(__xludf.DUMMYFUNCTION("INDEX(SPLIT(B38, char(10)), 0, 1)/86400+date(1970,1,1)"),44361.599907407406)</f>
        <v>44361.59991</v>
      </c>
      <c r="D38" s="44" t="s">
        <v>93</v>
      </c>
      <c r="E38" s="44" t="s">
        <v>925</v>
      </c>
      <c r="F38" s="44" t="s">
        <v>926</v>
      </c>
    </row>
    <row r="39">
      <c r="A39" s="44">
        <v>18.0</v>
      </c>
      <c r="B39" s="44">
        <v>1.623680688E9</v>
      </c>
      <c r="C39" s="40">
        <f>IFERROR(__xludf.DUMMYFUNCTION("INDEX(SPLIT(B39, char(10)), 0, 1)/86400+date(1970,1,1)"),44361.60055555556)</f>
        <v>44361.60056</v>
      </c>
      <c r="D39" s="44" t="s">
        <v>81</v>
      </c>
      <c r="E39" s="44" t="s">
        <v>927</v>
      </c>
      <c r="F39" s="44" t="s">
        <v>928</v>
      </c>
    </row>
    <row r="40">
      <c r="A40" s="44">
        <v>19.0</v>
      </c>
      <c r="B40" s="44">
        <v>1.623680786E9</v>
      </c>
      <c r="C40" s="40">
        <f>IFERROR(__xludf.DUMMYFUNCTION("INDEX(SPLIT(B40, char(10)), 0, 1)/86400+date(1970,1,1)"),44361.601689814815)</f>
        <v>44361.60169</v>
      </c>
      <c r="D40" s="44" t="s">
        <v>81</v>
      </c>
      <c r="E40" s="44" t="s">
        <v>929</v>
      </c>
      <c r="F40" s="44" t="s">
        <v>930</v>
      </c>
    </row>
    <row r="41">
      <c r="A41" s="44">
        <v>19.0</v>
      </c>
      <c r="B41" s="44">
        <v>1.623680787E9</v>
      </c>
      <c r="C41" s="40">
        <f>IFERROR(__xludf.DUMMYFUNCTION("INDEX(SPLIT(B41, char(10)), 0, 1)/86400+date(1970,1,1)"),44361.60170138889)</f>
        <v>44361.6017</v>
      </c>
      <c r="D41" s="44" t="s">
        <v>174</v>
      </c>
      <c r="E41" s="44" t="s">
        <v>931</v>
      </c>
      <c r="F41" s="44" t="s">
        <v>932</v>
      </c>
    </row>
    <row r="42">
      <c r="A42" s="44">
        <v>19.0</v>
      </c>
      <c r="B42" s="44">
        <v>1.623680836E9</v>
      </c>
      <c r="C42" s="40">
        <f>IFERROR(__xludf.DUMMYFUNCTION("INDEX(SPLIT(B42, char(10)), 0, 1)/86400+date(1970,1,1)"),44361.602268518516)</f>
        <v>44361.60227</v>
      </c>
      <c r="D42" s="44" t="s">
        <v>96</v>
      </c>
      <c r="E42" s="44" t="s">
        <v>933</v>
      </c>
      <c r="F42" s="44" t="s">
        <v>934</v>
      </c>
    </row>
    <row r="43">
      <c r="A43" s="44">
        <v>20.0</v>
      </c>
      <c r="B43" s="44">
        <v>1.623680884E9</v>
      </c>
      <c r="C43" s="40">
        <f>IFERROR(__xludf.DUMMYFUNCTION("INDEX(SPLIT(B43, char(10)), 0, 1)/86400+date(1970,1,1)"),44361.60282407407)</f>
        <v>44361.60282</v>
      </c>
      <c r="D43" s="44" t="s">
        <v>81</v>
      </c>
      <c r="E43" s="44" t="s">
        <v>935</v>
      </c>
      <c r="F43" s="44" t="s">
        <v>936</v>
      </c>
    </row>
    <row r="44">
      <c r="A44" s="44">
        <v>20.0</v>
      </c>
      <c r="B44" s="44">
        <v>1.623680921E9</v>
      </c>
      <c r="C44" s="40">
        <f>IFERROR(__xludf.DUMMYFUNCTION("INDEX(SPLIT(B44, char(10)), 0, 1)/86400+date(1970,1,1)"),44361.60325231482)</f>
        <v>44361.60325</v>
      </c>
      <c r="D44" s="44" t="s">
        <v>174</v>
      </c>
      <c r="E44" s="44" t="s">
        <v>937</v>
      </c>
      <c r="F44" s="44" t="s">
        <v>938</v>
      </c>
    </row>
    <row r="45">
      <c r="A45" s="44">
        <v>20.0</v>
      </c>
      <c r="B45" s="44">
        <v>1.623680936E9</v>
      </c>
      <c r="C45" s="40">
        <f>IFERROR(__xludf.DUMMYFUNCTION("INDEX(SPLIT(B45, char(10)), 0, 1)/86400+date(1970,1,1)"),44361.603425925925)</f>
        <v>44361.60343</v>
      </c>
      <c r="D45" s="44" t="s">
        <v>96</v>
      </c>
      <c r="E45" s="44" t="s">
        <v>939</v>
      </c>
      <c r="F45" s="44" t="s">
        <v>940</v>
      </c>
    </row>
    <row r="46">
      <c r="A46" s="44">
        <v>21.0</v>
      </c>
      <c r="B46" s="44">
        <v>1.623681428E9</v>
      </c>
      <c r="C46" s="40">
        <f>IFERROR(__xludf.DUMMYFUNCTION("INDEX(SPLIT(B46, char(10)), 0, 1)/86400+date(1970,1,1)"),44361.60912037037)</f>
        <v>44361.60912</v>
      </c>
      <c r="D46" s="44" t="s">
        <v>96</v>
      </c>
      <c r="E46" s="44" t="s">
        <v>941</v>
      </c>
      <c r="F46" s="44" t="s">
        <v>942</v>
      </c>
    </row>
    <row r="47">
      <c r="A47" s="44">
        <v>21.0</v>
      </c>
      <c r="B47" s="44">
        <v>1.623681434E9</v>
      </c>
      <c r="C47" s="40">
        <f>IFERROR(__xludf.DUMMYFUNCTION("INDEX(SPLIT(B47, char(10)), 0, 1)/86400+date(1970,1,1)"),44361.609189814815)</f>
        <v>44361.60919</v>
      </c>
      <c r="D47" s="44" t="s">
        <v>81</v>
      </c>
      <c r="E47" s="44" t="s">
        <v>943</v>
      </c>
      <c r="F47" s="44" t="s">
        <v>944</v>
      </c>
    </row>
    <row r="48">
      <c r="A48" s="44">
        <v>21.0</v>
      </c>
      <c r="B48" s="44">
        <v>1.623681455E9</v>
      </c>
      <c r="C48" s="40">
        <f>IFERROR(__xludf.DUMMYFUNCTION("INDEX(SPLIT(B48, char(10)), 0, 1)/86400+date(1970,1,1)"),44361.60943287037)</f>
        <v>44361.60943</v>
      </c>
      <c r="D48" s="44" t="s">
        <v>90</v>
      </c>
      <c r="E48" s="44" t="s">
        <v>945</v>
      </c>
      <c r="F48" s="44" t="s">
        <v>946</v>
      </c>
    </row>
    <row r="49">
      <c r="A49" s="44">
        <v>22.0</v>
      </c>
      <c r="B49" s="44">
        <v>1.62368207E9</v>
      </c>
      <c r="C49" s="40">
        <f>IFERROR(__xludf.DUMMYFUNCTION("INDEX(SPLIT(B49, char(10)), 0, 1)/86400+date(1970,1,1)"),44361.61655092593)</f>
        <v>44361.61655</v>
      </c>
      <c r="D49" s="44" t="s">
        <v>90</v>
      </c>
      <c r="E49" s="44" t="s">
        <v>947</v>
      </c>
      <c r="F49" s="44" t="s">
        <v>948</v>
      </c>
    </row>
    <row r="50">
      <c r="A50" s="44">
        <v>22.0</v>
      </c>
      <c r="B50" s="44">
        <v>1.623682134E9</v>
      </c>
      <c r="C50" s="40">
        <f>IFERROR(__xludf.DUMMYFUNCTION("INDEX(SPLIT(B50, char(10)), 0, 1)/86400+date(1970,1,1)"),44361.61729166667)</f>
        <v>44361.61729</v>
      </c>
      <c r="D50" s="44" t="s">
        <v>174</v>
      </c>
      <c r="E50" s="44" t="s">
        <v>949</v>
      </c>
      <c r="F50" s="44" t="s">
        <v>950</v>
      </c>
    </row>
    <row r="51">
      <c r="A51" s="44">
        <v>22.0</v>
      </c>
      <c r="B51" s="44">
        <v>1.623682135E9</v>
      </c>
      <c r="C51" s="40">
        <f>IFERROR(__xludf.DUMMYFUNCTION("INDEX(SPLIT(B51, char(10)), 0, 1)/86400+date(1970,1,1)"),44361.61730324074)</f>
        <v>44361.6173</v>
      </c>
      <c r="D51" s="44" t="s">
        <v>124</v>
      </c>
      <c r="E51" s="44" t="s">
        <v>275</v>
      </c>
      <c r="F51" s="44" t="s">
        <v>951</v>
      </c>
    </row>
    <row r="52">
      <c r="A52" s="44">
        <v>23.0</v>
      </c>
      <c r="B52" s="44">
        <v>1.623682353E9</v>
      </c>
      <c r="C52" s="40">
        <f>IFERROR(__xludf.DUMMYFUNCTION("INDEX(SPLIT(B52, char(10)), 0, 1)/86400+date(1970,1,1)"),44361.61982638889)</f>
        <v>44361.61983</v>
      </c>
      <c r="D52" s="44" t="s">
        <v>96</v>
      </c>
      <c r="E52" s="44" t="s">
        <v>952</v>
      </c>
      <c r="F52" s="44" t="s">
        <v>953</v>
      </c>
    </row>
    <row r="53">
      <c r="A53" s="44">
        <v>23.0</v>
      </c>
      <c r="B53" s="44">
        <v>1.623682355E9</v>
      </c>
      <c r="C53" s="40">
        <f>IFERROR(__xludf.DUMMYFUNCTION("INDEX(SPLIT(B53, char(10)), 0, 1)/86400+date(1970,1,1)"),44361.61984953703)</f>
        <v>44361.61985</v>
      </c>
      <c r="D53" s="44" t="s">
        <v>81</v>
      </c>
      <c r="E53" s="44" t="s">
        <v>954</v>
      </c>
      <c r="F53" s="44" t="s">
        <v>955</v>
      </c>
    </row>
    <row r="54">
      <c r="A54" s="44">
        <v>23.0</v>
      </c>
      <c r="B54" s="44">
        <v>1.623682439E9</v>
      </c>
      <c r="C54" s="40">
        <f>IFERROR(__xludf.DUMMYFUNCTION("INDEX(SPLIT(B54, char(10)), 0, 1)/86400+date(1970,1,1)"),44361.62082175926)</f>
        <v>44361.62082</v>
      </c>
      <c r="D54" s="44" t="s">
        <v>90</v>
      </c>
      <c r="E54" s="44" t="s">
        <v>956</v>
      </c>
      <c r="F54" s="44" t="s">
        <v>957</v>
      </c>
    </row>
    <row r="55">
      <c r="A55" s="44">
        <v>24.0</v>
      </c>
      <c r="B55" s="44">
        <v>1.62368246E9</v>
      </c>
      <c r="C55" s="40">
        <f>IFERROR(__xludf.DUMMYFUNCTION("INDEX(SPLIT(B55, char(10)), 0, 1)/86400+date(1970,1,1)"),44361.62106481481)</f>
        <v>44361.62106</v>
      </c>
      <c r="D55" s="44" t="s">
        <v>96</v>
      </c>
      <c r="E55" s="44" t="s">
        <v>958</v>
      </c>
      <c r="F55" s="44" t="s">
        <v>959</v>
      </c>
    </row>
    <row r="56">
      <c r="A56" s="44">
        <v>24.0</v>
      </c>
      <c r="B56" s="44">
        <v>1.623682498E9</v>
      </c>
      <c r="C56" s="40">
        <f>IFERROR(__xludf.DUMMYFUNCTION("INDEX(SPLIT(B56, char(10)), 0, 1)/86400+date(1970,1,1)"),44361.62150462963)</f>
        <v>44361.6215</v>
      </c>
      <c r="D56" s="44" t="s">
        <v>81</v>
      </c>
      <c r="E56" s="44" t="s">
        <v>960</v>
      </c>
      <c r="F56" s="44" t="s">
        <v>961</v>
      </c>
    </row>
    <row r="57">
      <c r="A57" s="44">
        <v>25.0</v>
      </c>
      <c r="B57" s="44">
        <v>1.623682597E9</v>
      </c>
      <c r="C57" s="40">
        <f>IFERROR(__xludf.DUMMYFUNCTION("INDEX(SPLIT(B57, char(10)), 0, 1)/86400+date(1970,1,1)"),44361.62265046296)</f>
        <v>44361.62265</v>
      </c>
      <c r="D57" s="44" t="s">
        <v>90</v>
      </c>
      <c r="E57" s="44" t="s">
        <v>962</v>
      </c>
      <c r="F57" s="44" t="s">
        <v>963</v>
      </c>
    </row>
    <row r="58">
      <c r="A58" s="44">
        <v>25.0</v>
      </c>
      <c r="B58" s="44">
        <v>1.623682638E9</v>
      </c>
      <c r="C58" s="40">
        <f>IFERROR(__xludf.DUMMYFUNCTION("INDEX(SPLIT(B58, char(10)), 0, 1)/86400+date(1970,1,1)"),44361.623125)</f>
        <v>44361.62313</v>
      </c>
      <c r="D58" s="44" t="s">
        <v>81</v>
      </c>
      <c r="E58" s="44" t="s">
        <v>929</v>
      </c>
      <c r="F58" s="44" t="s">
        <v>964</v>
      </c>
    </row>
    <row r="59">
      <c r="C59" s="40"/>
    </row>
    <row r="60">
      <c r="C60" s="40"/>
    </row>
    <row r="61">
      <c r="C61" s="40"/>
    </row>
    <row r="62">
      <c r="C62" s="40"/>
    </row>
    <row r="63">
      <c r="C63" s="40"/>
    </row>
    <row r="64">
      <c r="C64" s="40"/>
    </row>
    <row r="65">
      <c r="C65" s="40"/>
    </row>
    <row r="66">
      <c r="C66" s="40"/>
    </row>
    <row r="67">
      <c r="C67" s="4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IFERROR(__xludf.DUMMYFUNCTION("TRANSPOSE(UNIQUE(INDIRECT(B2&amp;""!D2:D107"")))"),"['keeper', 'best', 'goalkeep', 'defend', 'EXCLUDED-kepa', 'save']")</f>
        <v>['keeper', 'best', 'goalkeep', 'defend', 'EXCLUDED-kepa', 'save']</v>
      </c>
      <c r="G1" s="5" t="str">
        <f>IFERROR(__xludf.DUMMYFUNCTION("""COMPUTED_VALUE"""),"['touch', 'cross', 'ball', 'pass']")</f>
        <v>['touch', 'cross', 'ball', 'pass']</v>
      </c>
      <c r="H1" s="5" t="str">
        <f>IFERROR(__xludf.DUMMYFUNCTION("""COMPUTED_VALUE"""),"['take', 'knee', 'player']")</f>
        <v>['take', 'knee', 'player']</v>
      </c>
      <c r="I1" s="5" t="str">
        <f>IFERROR(__xludf.DUMMYFUNCTION("""COMPUTED_VALUE"""),"['goal', 'score', 'conced', 'equalis', 'offsid', 'assist']")</f>
        <v>['goal', 'score', 'conced', 'equalis', 'offsid', 'assist']</v>
      </c>
      <c r="J1" s="5" t="str">
        <f>IFERROR(__xludf.DUMMYFUNCTION("""COMPUTED_VALUE"""),"['gol', 'stream', 'onlin', 'free', 'reddit', 'link', 'EXCLUDED-manchest', 'ff', 'live']")</f>
        <v>['gol', 'stream', 'onlin', 'free', 'reddit', 'link', 'EXCLUDED-manchest', 'ff', 'live']</v>
      </c>
      <c r="K1" s="5" t="str">
        <f>IFERROR(__xludf.DUMMYFUNCTION("""COMPUTED_VALUE"""),"['need', 'half', 'sub', 'second', 'lead', '2nd']")</f>
        <v>['need', 'half', 'sub', 'second', 'lead', '2nd']</v>
      </c>
      <c r="L1" s="5" t="str">
        <f>IFERROR(__xludf.DUMMYFUNCTION("""COMPUTED_VALUE"""),"['champion', 'final', 'leagu', 'footbal', 'win']")</f>
        <v>['champion', 'final', 'leagu', 'footbal', 'win']</v>
      </c>
      <c r="M1" s="5" t="str">
        <f>IFERROR(__xludf.DUMMYFUNCTION("""COMPUTED_VALUE"""),"['foul', 'refere', 'book', 'decis', 'var', 'given', 'pen', 'dive', 'ref', 'penalti']")</f>
        <v>['foul', 'refere', 'book', 'decis', 'var', 'given', 'pen', 'dive', 'ref', 'penalti']</v>
      </c>
      <c r="N1" s="5" t="str">
        <f>IFERROR(__xludf.DUMMYFUNCTION("""COMPUTED_VALUE"""),"['hit', 'post']")</f>
        <v>['hit', 'post']</v>
      </c>
      <c r="O1" s="5" t="str">
        <f>IFERROR(__xludf.DUMMYFUNCTION("""COMPUTED_VALUE"""),"['world', 'class', 'striker']")</f>
        <v>['world', 'class', 'striker']</v>
      </c>
      <c r="P1" s="5" t="str">
        <f>IFERROR(__xludf.DUMMYFUNCTION("""COMPUTED_VALUE"""),"['deflect', 'kick', 'corner', 'shot', 'net']")</f>
        <v>['deflect', 'kick', 'corner', 'shot', 'net']</v>
      </c>
      <c r="Q1" s="5"/>
    </row>
    <row r="2">
      <c r="A2" s="14" t="s">
        <v>31</v>
      </c>
      <c r="B2" s="15" t="s">
        <v>965</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1</v>
      </c>
      <c r="G3" s="22">
        <f t="shared" ref="G3:G7" si="2">F3/SUM(F$3:F$7)</f>
        <v>0.1111111111</v>
      </c>
      <c r="H3" s="20" t="s">
        <v>14</v>
      </c>
      <c r="I3" s="21">
        <f t="shared" ref="I3:I7" si="3">COUNTIF(J$10:J1007,H3)</f>
        <v>0</v>
      </c>
      <c r="J3" s="22">
        <f t="shared" ref="J3:J7" si="4">I3/SUM(I$3:I$7)</f>
        <v>0</v>
      </c>
      <c r="K3" s="20" t="s">
        <v>14</v>
      </c>
      <c r="L3" s="21">
        <f t="shared" ref="L3:L7" si="5">COUNTIF(M$10:M1007,K3)</f>
        <v>0</v>
      </c>
      <c r="M3" s="22">
        <f t="shared" ref="M3:M7" si="6">L3/SUM(L$3:L$7)</f>
        <v>0</v>
      </c>
      <c r="N3" s="20" t="s">
        <v>14</v>
      </c>
      <c r="O3" s="21">
        <f t="shared" ref="O3:O7" si="7">COUNTIF(P$10:P1007,N3)</f>
        <v>0</v>
      </c>
      <c r="P3" s="22">
        <f t="shared" ref="P3:P7" si="8">O3/SUM(O$3:O$7)</f>
        <v>0</v>
      </c>
      <c r="Q3" s="20" t="s">
        <v>14</v>
      </c>
      <c r="R3" s="21">
        <f t="shared" ref="R3:R7" si="9">COUNTIF(S$10:S1007,Q3)</f>
        <v>0</v>
      </c>
      <c r="S3" s="22">
        <f t="shared" ref="S3:S7" si="10">R3/SUM(R$3:R$7)</f>
        <v>0</v>
      </c>
      <c r="T3" s="20" t="s">
        <v>14</v>
      </c>
      <c r="U3" s="21">
        <f t="shared" ref="U3:U7" si="11">COUNTIF(V$10:V1007,T3)</f>
        <v>2</v>
      </c>
      <c r="V3" s="22">
        <f t="shared" ref="V3:V7" si="12">U3/SUM(U$3:U$7)</f>
        <v>0.2857142857</v>
      </c>
      <c r="W3" s="20" t="s">
        <v>14</v>
      </c>
      <c r="X3" s="21">
        <f t="shared" ref="X3:X7" si="13">COUNTIF(Y$10:Y1007,W3)</f>
        <v>1</v>
      </c>
      <c r="Y3" s="22">
        <f t="shared" ref="Y3:Y7" si="14">X3/SUM(X$3:X$7)</f>
        <v>0.09090909091</v>
      </c>
      <c r="Z3" s="20" t="s">
        <v>14</v>
      </c>
      <c r="AA3" s="21">
        <f t="shared" ref="AA3:AA7" si="15">COUNTIF(AB$10:AB1007,Z3)</f>
        <v>0</v>
      </c>
      <c r="AB3" s="22">
        <f t="shared" ref="AB3:AB7" si="16">AA3/SUM(AA$3:AA$7)</f>
        <v>0</v>
      </c>
      <c r="AC3" s="20" t="s">
        <v>14</v>
      </c>
      <c r="AD3" s="21">
        <f t="shared" ref="AD3:AD7" si="17">COUNTIF(AE$10:AE1007,AC3)</f>
        <v>0</v>
      </c>
      <c r="AE3" s="22">
        <f t="shared" ref="AE3:AE7" si="18">AD3/SUM(AD$3:AD$7)</f>
        <v>0</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1</v>
      </c>
      <c r="G4" s="22">
        <f t="shared" si="2"/>
        <v>0.1111111111</v>
      </c>
      <c r="H4" s="20" t="s">
        <v>15</v>
      </c>
      <c r="I4" s="21">
        <f t="shared" si="3"/>
        <v>0</v>
      </c>
      <c r="J4" s="22">
        <f t="shared" si="4"/>
        <v>0</v>
      </c>
      <c r="K4" s="20" t="s">
        <v>15</v>
      </c>
      <c r="L4" s="21">
        <f t="shared" si="5"/>
        <v>0</v>
      </c>
      <c r="M4" s="22">
        <f t="shared" si="6"/>
        <v>0</v>
      </c>
      <c r="N4" s="20" t="s">
        <v>15</v>
      </c>
      <c r="O4" s="21">
        <f t="shared" si="7"/>
        <v>0</v>
      </c>
      <c r="P4" s="22">
        <f t="shared" si="8"/>
        <v>0</v>
      </c>
      <c r="Q4" s="20" t="s">
        <v>15</v>
      </c>
      <c r="R4" s="21">
        <f t="shared" si="9"/>
        <v>0</v>
      </c>
      <c r="S4" s="22">
        <f t="shared" si="10"/>
        <v>0</v>
      </c>
      <c r="T4" s="20" t="s">
        <v>15</v>
      </c>
      <c r="U4" s="21">
        <f t="shared" si="11"/>
        <v>0</v>
      </c>
      <c r="V4" s="22">
        <f t="shared" si="12"/>
        <v>0</v>
      </c>
      <c r="W4" s="20" t="s">
        <v>15</v>
      </c>
      <c r="X4" s="21">
        <f t="shared" si="13"/>
        <v>0</v>
      </c>
      <c r="Y4" s="22">
        <f t="shared" si="14"/>
        <v>0</v>
      </c>
      <c r="Z4" s="20" t="s">
        <v>15</v>
      </c>
      <c r="AA4" s="21">
        <f t="shared" si="15"/>
        <v>1</v>
      </c>
      <c r="AB4" s="22">
        <f t="shared" si="16"/>
        <v>0.2</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0</v>
      </c>
      <c r="G5" s="22">
        <f t="shared" si="2"/>
        <v>0</v>
      </c>
      <c r="H5" s="20" t="s">
        <v>16</v>
      </c>
      <c r="I5" s="21">
        <f t="shared" si="3"/>
        <v>0</v>
      </c>
      <c r="J5" s="22">
        <f t="shared" si="4"/>
        <v>0</v>
      </c>
      <c r="K5" s="20" t="s">
        <v>16</v>
      </c>
      <c r="L5" s="21">
        <f t="shared" si="5"/>
        <v>2</v>
      </c>
      <c r="M5" s="22">
        <f t="shared" si="6"/>
        <v>0.3333333333</v>
      </c>
      <c r="N5" s="20" t="s">
        <v>16</v>
      </c>
      <c r="O5" s="21">
        <f t="shared" si="7"/>
        <v>1</v>
      </c>
      <c r="P5" s="22">
        <f t="shared" si="8"/>
        <v>0.1428571429</v>
      </c>
      <c r="Q5" s="20" t="s">
        <v>16</v>
      </c>
      <c r="R5" s="21">
        <f t="shared" si="9"/>
        <v>0</v>
      </c>
      <c r="S5" s="22">
        <f t="shared" si="10"/>
        <v>0</v>
      </c>
      <c r="T5" s="20" t="s">
        <v>16</v>
      </c>
      <c r="U5" s="21">
        <f t="shared" si="11"/>
        <v>0</v>
      </c>
      <c r="V5" s="22">
        <f t="shared" si="12"/>
        <v>0</v>
      </c>
      <c r="W5" s="20" t="s">
        <v>16</v>
      </c>
      <c r="X5" s="21">
        <f t="shared" si="13"/>
        <v>3</v>
      </c>
      <c r="Y5" s="22">
        <f t="shared" si="14"/>
        <v>0.2727272727</v>
      </c>
      <c r="Z5" s="20" t="s">
        <v>16</v>
      </c>
      <c r="AA5" s="21">
        <f t="shared" si="15"/>
        <v>3</v>
      </c>
      <c r="AB5" s="22">
        <f t="shared" si="16"/>
        <v>0.6</v>
      </c>
      <c r="AC5" s="20" t="s">
        <v>16</v>
      </c>
      <c r="AD5" s="21">
        <f t="shared" si="17"/>
        <v>0</v>
      </c>
      <c r="AE5" s="22">
        <f t="shared" si="18"/>
        <v>0</v>
      </c>
      <c r="AF5" s="20" t="s">
        <v>16</v>
      </c>
      <c r="AG5" s="21">
        <f t="shared" si="19"/>
        <v>1</v>
      </c>
      <c r="AH5" s="22">
        <f t="shared" si="20"/>
        <v>1</v>
      </c>
      <c r="AI5" s="20" t="s">
        <v>16</v>
      </c>
      <c r="AJ5" s="21">
        <f t="shared" si="21"/>
        <v>0</v>
      </c>
      <c r="AK5" s="22">
        <f t="shared" si="22"/>
        <v>0</v>
      </c>
      <c r="AL5" s="20" t="s">
        <v>16</v>
      </c>
      <c r="AM5" s="21">
        <f t="shared" si="23"/>
        <v>0</v>
      </c>
      <c r="AN5" s="22" t="str">
        <f t="shared" si="24"/>
        <v>#DIV/0!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1</v>
      </c>
      <c r="G6" s="22">
        <f t="shared" si="2"/>
        <v>0.1111111111</v>
      </c>
      <c r="H6" s="20" t="s">
        <v>17</v>
      </c>
      <c r="I6" s="21">
        <f t="shared" si="3"/>
        <v>1</v>
      </c>
      <c r="J6" s="22">
        <f t="shared" si="4"/>
        <v>0.5</v>
      </c>
      <c r="K6" s="20" t="s">
        <v>17</v>
      </c>
      <c r="L6" s="21">
        <f t="shared" si="5"/>
        <v>3</v>
      </c>
      <c r="M6" s="22">
        <f t="shared" si="6"/>
        <v>0.5</v>
      </c>
      <c r="N6" s="20" t="s">
        <v>17</v>
      </c>
      <c r="O6" s="21">
        <f t="shared" si="7"/>
        <v>1</v>
      </c>
      <c r="P6" s="22">
        <f t="shared" si="8"/>
        <v>0.1428571429</v>
      </c>
      <c r="Q6" s="20" t="s">
        <v>17</v>
      </c>
      <c r="R6" s="21">
        <f t="shared" si="9"/>
        <v>2</v>
      </c>
      <c r="S6" s="22">
        <f t="shared" si="10"/>
        <v>1</v>
      </c>
      <c r="T6" s="20" t="s">
        <v>17</v>
      </c>
      <c r="U6" s="21">
        <f t="shared" si="11"/>
        <v>5</v>
      </c>
      <c r="V6" s="22">
        <f t="shared" si="12"/>
        <v>0.7142857143</v>
      </c>
      <c r="W6" s="20" t="s">
        <v>17</v>
      </c>
      <c r="X6" s="21">
        <f t="shared" si="13"/>
        <v>6</v>
      </c>
      <c r="Y6" s="22">
        <f t="shared" si="14"/>
        <v>0.5454545455</v>
      </c>
      <c r="Z6" s="20" t="s">
        <v>17</v>
      </c>
      <c r="AA6" s="21">
        <f t="shared" si="15"/>
        <v>0</v>
      </c>
      <c r="AB6" s="22">
        <f t="shared" si="16"/>
        <v>0</v>
      </c>
      <c r="AC6" s="20" t="s">
        <v>17</v>
      </c>
      <c r="AD6" s="21">
        <f t="shared" si="17"/>
        <v>0</v>
      </c>
      <c r="AE6" s="22">
        <f t="shared" si="18"/>
        <v>0</v>
      </c>
      <c r="AF6" s="20" t="s">
        <v>17</v>
      </c>
      <c r="AG6" s="21">
        <f t="shared" si="19"/>
        <v>0</v>
      </c>
      <c r="AH6" s="22">
        <f t="shared" si="20"/>
        <v>0</v>
      </c>
      <c r="AI6" s="20" t="s">
        <v>17</v>
      </c>
      <c r="AJ6" s="21">
        <f t="shared" si="21"/>
        <v>0</v>
      </c>
      <c r="AK6" s="22">
        <f t="shared" si="22"/>
        <v>0</v>
      </c>
      <c r="AL6" s="20" t="s">
        <v>17</v>
      </c>
      <c r="AM6" s="21">
        <f t="shared" si="23"/>
        <v>0</v>
      </c>
      <c r="AN6" s="22" t="str">
        <f t="shared" si="24"/>
        <v>#DIV/0!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6</v>
      </c>
      <c r="G7" s="22">
        <f t="shared" si="2"/>
        <v>0.6666666667</v>
      </c>
      <c r="H7" s="20" t="s">
        <v>18</v>
      </c>
      <c r="I7" s="21">
        <f t="shared" si="3"/>
        <v>1</v>
      </c>
      <c r="J7" s="22">
        <f t="shared" si="4"/>
        <v>0.5</v>
      </c>
      <c r="K7" s="20" t="s">
        <v>18</v>
      </c>
      <c r="L7" s="21">
        <f t="shared" si="5"/>
        <v>1</v>
      </c>
      <c r="M7" s="22">
        <f t="shared" si="6"/>
        <v>0.1666666667</v>
      </c>
      <c r="N7" s="20" t="s">
        <v>18</v>
      </c>
      <c r="O7" s="21">
        <f t="shared" si="7"/>
        <v>5</v>
      </c>
      <c r="P7" s="22">
        <f t="shared" si="8"/>
        <v>0.7142857143</v>
      </c>
      <c r="Q7" s="20" t="s">
        <v>18</v>
      </c>
      <c r="R7" s="21">
        <f t="shared" si="9"/>
        <v>0</v>
      </c>
      <c r="S7" s="22">
        <f t="shared" si="10"/>
        <v>0</v>
      </c>
      <c r="T7" s="20" t="s">
        <v>18</v>
      </c>
      <c r="U7" s="21">
        <f t="shared" si="11"/>
        <v>0</v>
      </c>
      <c r="V7" s="22">
        <f t="shared" si="12"/>
        <v>0</v>
      </c>
      <c r="W7" s="20" t="s">
        <v>18</v>
      </c>
      <c r="X7" s="21">
        <f t="shared" si="13"/>
        <v>1</v>
      </c>
      <c r="Y7" s="22">
        <f t="shared" si="14"/>
        <v>0.09090909091</v>
      </c>
      <c r="Z7" s="20" t="s">
        <v>18</v>
      </c>
      <c r="AA7" s="21">
        <f t="shared" si="15"/>
        <v>1</v>
      </c>
      <c r="AB7" s="22">
        <f t="shared" si="16"/>
        <v>0.2</v>
      </c>
      <c r="AC7" s="20" t="s">
        <v>18</v>
      </c>
      <c r="AD7" s="21">
        <f t="shared" si="17"/>
        <v>1</v>
      </c>
      <c r="AE7" s="22">
        <f t="shared" si="18"/>
        <v>1</v>
      </c>
      <c r="AF7" s="20" t="s">
        <v>18</v>
      </c>
      <c r="AG7" s="21">
        <f t="shared" si="19"/>
        <v>0</v>
      </c>
      <c r="AH7" s="22">
        <f t="shared" si="20"/>
        <v>0</v>
      </c>
      <c r="AI7" s="20" t="s">
        <v>18</v>
      </c>
      <c r="AJ7" s="21">
        <f t="shared" si="21"/>
        <v>2</v>
      </c>
      <c r="AK7" s="22">
        <f t="shared" si="22"/>
        <v>1</v>
      </c>
      <c r="AL7" s="20" t="s">
        <v>18</v>
      </c>
      <c r="AM7" s="21">
        <f t="shared" si="23"/>
        <v>0</v>
      </c>
      <c r="AN7" s="22" t="str">
        <f t="shared" si="24"/>
        <v>#DIV/0!</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9</v>
      </c>
      <c r="G8" s="25">
        <f>SUM(G6:G7)</f>
        <v>0.7777777778</v>
      </c>
      <c r="H8" s="24" t="s">
        <v>13</v>
      </c>
      <c r="I8" s="5">
        <f>SUM(I3:I7)</f>
        <v>2</v>
      </c>
      <c r="J8" s="25">
        <f>SUM(J6:J7)</f>
        <v>1</v>
      </c>
      <c r="K8" s="24" t="s">
        <v>13</v>
      </c>
      <c r="L8" s="5">
        <f>SUM(L3:L7)</f>
        <v>6</v>
      </c>
      <c r="M8" s="25">
        <f>SUM(M6:M7)</f>
        <v>0.6666666667</v>
      </c>
      <c r="N8" s="24" t="s">
        <v>13</v>
      </c>
      <c r="O8" s="5">
        <f>SUM(O3:O7)</f>
        <v>7</v>
      </c>
      <c r="P8" s="25">
        <f>SUM(P6:P7)</f>
        <v>0.8571428571</v>
      </c>
      <c r="Q8" s="24" t="s">
        <v>13</v>
      </c>
      <c r="R8" s="5">
        <f>SUM(R3:R7)</f>
        <v>2</v>
      </c>
      <c r="S8" s="25">
        <f>SUM(S6:S7)</f>
        <v>1</v>
      </c>
      <c r="T8" s="24" t="s">
        <v>13</v>
      </c>
      <c r="U8" s="5">
        <f>SUM(U3:U7)</f>
        <v>7</v>
      </c>
      <c r="V8" s="25">
        <f>SUM(V6:V7)</f>
        <v>0.7142857143</v>
      </c>
      <c r="W8" s="24" t="s">
        <v>13</v>
      </c>
      <c r="X8" s="5">
        <f>SUM(X3:X7)</f>
        <v>11</v>
      </c>
      <c r="Y8" s="25">
        <f>SUM(Y6:Y7)</f>
        <v>0.6363636364</v>
      </c>
      <c r="Z8" s="24" t="s">
        <v>13</v>
      </c>
      <c r="AA8" s="5">
        <f>SUM(AA3:AA7)</f>
        <v>5</v>
      </c>
      <c r="AB8" s="25">
        <f>SUM(AB6:AB7)</f>
        <v>0.2</v>
      </c>
      <c r="AC8" s="24" t="s">
        <v>13</v>
      </c>
      <c r="AD8" s="5">
        <f>SUM(AD3:AD7)</f>
        <v>1</v>
      </c>
      <c r="AE8" s="25">
        <f>SUM(AE6:AE7)</f>
        <v>1</v>
      </c>
      <c r="AF8" s="24" t="s">
        <v>13</v>
      </c>
      <c r="AG8" s="5">
        <f>SUM(AG3:AG7)</f>
        <v>1</v>
      </c>
      <c r="AH8" s="25">
        <f>SUM(AH6:AH7)</f>
        <v>0</v>
      </c>
      <c r="AI8" s="24" t="s">
        <v>13</v>
      </c>
      <c r="AJ8" s="5">
        <f>SUM(AJ3:AJ7)</f>
        <v>2</v>
      </c>
      <c r="AK8" s="25">
        <f>SUM(AK6:AK7)</f>
        <v>1</v>
      </c>
      <c r="AL8" s="24" t="s">
        <v>13</v>
      </c>
      <c r="AM8" s="5">
        <f>SUM(AM3:AM7)</f>
        <v>0</v>
      </c>
      <c r="AN8" s="25" t="str">
        <f>SUM(AN6:AN7)</f>
        <v>#DIV/0!</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['keeper', 'best', 'goalkeep', 'defend', 'EXCLUDED-kepa', 'save']</v>
      </c>
      <c r="F9" s="28"/>
      <c r="G9" s="29"/>
      <c r="H9" s="27" t="str">
        <f>IF((COLUMN(H9) - 2)/3 = INT((COLUMN(H9) - 2)/3), INDIRECT("R1C"&amp;CEILING(4 + COLUMN(H9)/3,1), FALSE), "")</f>
        <v>['touch', 'cross', 'ball', 'pass']</v>
      </c>
      <c r="I9" s="28"/>
      <c r="J9" s="29"/>
      <c r="K9" s="27" t="str">
        <f>IF((COLUMN(K9) - 2)/3 = INT((COLUMN(K9) - 2)/3), INDIRECT("R1C"&amp;CEILING(4 + COLUMN(K9)/3,1), FALSE), "")</f>
        <v>['take', 'knee', 'player']</v>
      </c>
      <c r="L9" s="28"/>
      <c r="M9" s="29"/>
      <c r="N9" s="27" t="str">
        <f>IF((COLUMN(N9) - 2)/3 = INT((COLUMN(N9) - 2)/3), INDIRECT("R1C"&amp;CEILING(4 + COLUMN(N9)/3,1), FALSE), "")</f>
        <v>['goal', 'score', 'conced', 'equalis', 'offsid', 'assist']</v>
      </c>
      <c r="O9" s="28"/>
      <c r="P9" s="29"/>
      <c r="Q9" s="27" t="str">
        <f>IF((COLUMN(Q9) - 2)/3 = INT((COLUMN(Q9) - 2)/3), INDIRECT("R1C"&amp;CEILING(4 + COLUMN(Q9)/3,1), FALSE), "")</f>
        <v>['gol', 'stream', 'onlin', 'free', 'reddit', 'link', 'EXCLUDED-manchest', 'ff', 'live']</v>
      </c>
      <c r="R9" s="28"/>
      <c r="S9" s="29"/>
      <c r="T9" s="27" t="str">
        <f>IF((COLUMN(T9) - 2)/3 = INT((COLUMN(T9) - 2)/3), INDIRECT("R1C"&amp;CEILING(4 + COLUMN(T9)/3,1), FALSE), "")</f>
        <v>['need', 'half', 'sub', 'second', 'lead', '2nd']</v>
      </c>
      <c r="U9" s="28"/>
      <c r="V9" s="29"/>
      <c r="W9" s="27" t="str">
        <f>IF((COLUMN(W9) - 2)/3 = INT((COLUMN(W9) - 2)/3), INDIRECT("R1C"&amp;CEILING(4 + COLUMN(W9)/3,1), FALSE), "")</f>
        <v>['champion', 'final', 'leagu', 'footbal', 'win']</v>
      </c>
      <c r="X9" s="28"/>
      <c r="Y9" s="29"/>
      <c r="Z9" s="27" t="str">
        <f>IF((COLUMN(Z9) - 2)/3 = INT((COLUMN(Z9) - 2)/3), INDIRECT("R1C"&amp;CEILING(4 + COLUMN(Z9)/3,1), FALSE), "")</f>
        <v>['foul', 'refere', 'book', 'decis', 'var', 'given', 'pen', 'dive', 'ref', 'penalti']</v>
      </c>
      <c r="AA9" s="28"/>
      <c r="AB9" s="29"/>
      <c r="AC9" s="27" t="str">
        <f>IF((COLUMN(AC9) - 2)/3 = INT((COLUMN(AC9) - 2)/3), INDIRECT("R1C"&amp;CEILING(4 + COLUMN(AC9)/3,1), FALSE), "")</f>
        <v>['hit', 'post']</v>
      </c>
      <c r="AD9" s="28"/>
      <c r="AE9" s="29"/>
      <c r="AF9" s="27" t="str">
        <f>IF((COLUMN(AF9) - 2)/3 = INT((COLUMN(AF9) - 2)/3), INDIRECT("R1C"&amp;CEILING(4 + COLUMN(AF9)/3,1), FALSE), "")</f>
        <v>['world', 'class', 'striker']</v>
      </c>
      <c r="AG9" s="28"/>
      <c r="AH9" s="29"/>
      <c r="AI9" s="27" t="str">
        <f>IF((COLUMN(AI9) - 2)/3 = INT((COLUMN(AI9) - 2)/3), INDIRECT("R1C"&amp;CEILING(4 + COLUMN(AI9)/3,1), FALSE), "")</f>
        <v>['deflect', 'kick', 'corner', 'shot', 'net']</v>
      </c>
      <c r="AJ9" s="28"/>
      <c r="AK9" s="29"/>
      <c r="AL9" s="27" t="str">
        <f>IF((COLUMN(AL9) - 2)/3 = INT((COLUMN(AL9) - 2)/3), INDIRECT("R1C"&amp;CEILING(4 + COLUMN(AL9)/3,1), FALSE), "")</f>
        <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NOT(ISERROR($E3:DF3))))"),4.0)</f>
        <v>4</v>
      </c>
      <c r="D10" s="26">
        <f t="shared" ref="D10:D14" si="63">$C10/$C$15</f>
        <v>0.07547169811</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NOT(ISERROR($E4:DF4))))"),2.0)</f>
        <v>2</v>
      </c>
      <c r="D11" s="26">
        <f t="shared" si="63"/>
        <v>0.03773584906</v>
      </c>
      <c r="E11" s="40">
        <f>IFERROR(__xludf.DUMMYFUNCTION("""COMPUTED_VALUE"""),44361.55342592593)</f>
        <v>44361.55343</v>
      </c>
      <c r="F11" s="5" t="str">
        <f>IFERROR(__xludf.DUMMYFUNCTION("""COMPUTED_VALUE"""),"Good save but how was that not a foul on McGinn? Great save from Marshall there #sco. What a save #SCOCZE. Great save from martial. #SCO #CZE. What a save about went into cardiac arrest there #SCO. 15' SHOOT by Valdimir Darida, SAVES by keeper and then co"&amp;"rner kick for Czech Rep.")</f>
        <v>Good save but how was that not a foul on McGinn? Great save from Marshall there #sco. What a save #SCOCZE. Great save from martial. #SCO #CZE. What a save about went into cardiac arrest there #SCO. 15' SHOOT by Valdimir Darida, SAVES by keeper and then corner kick for Czech Rep.</v>
      </c>
      <c r="G11" s="39" t="s">
        <v>18</v>
      </c>
      <c r="H11" s="40">
        <f>IFERROR(__xludf.DUMMYFUNCTION("""COMPUTED_VALUE"""),44361.55542824074)</f>
        <v>44361.55543</v>
      </c>
      <c r="I11" s="5" t="str">
        <f>IFERROR(__xludf.DUMMYFUNCTION("""COMPUTED_VALUE"""),"Robertson has mastered the art of crossing. Can’t think of many others who are so accurate. #SCO. That would have been a goal if it was a LFC player on the end of that Robertson cross. #SCO #SCOCZE. #SCOCZE sublime cross from Captain Andy Robertson reache"&amp;"s Dykes - just wide!")</f>
        <v>Robertson has mastered the art of crossing. Can’t think of many others who are so accurate. #SCO. That would have been a goal if it was a LFC player on the end of that Robertson cross. #SCO #SCOCZE. #SCOCZE sublime cross from Captain Andy Robertson reaches Dykes - just wide!</v>
      </c>
      <c r="J11" s="39" t="s">
        <v>18</v>
      </c>
      <c r="K11" s="40">
        <f>IFERROR(__xludf.DUMMYFUNCTION("""COMPUTED_VALUE"""),44361.55752314815)</f>
        <v>44361.55752</v>
      </c>
      <c r="L11" s="5" t="str">
        <f>IFERROR(__xludf.DUMMYFUNCTION("""COMPUTED_VALUE"""),"O’Donnell tackling his own player like a mad man hahah #SCOCZE. Great of him to tackle his own player off the ball 😂. #SCO. #SCO so amped up they're tackling their own players. EURO 2020. O'Donnell has now tackled his own player and ruined the attack. Th"&amp;"is is ridiculous.")</f>
        <v>O’Donnell tackling his own player like a mad man hahah #SCOCZE. Great of him to tackle his own player off the ball 😂. #SCO. #SCO so amped up they're tackling their own players. EURO 2020. O'Donnell has now tackled his own player and ruined the attack. This is ridiculous.</v>
      </c>
      <c r="M11" s="39" t="s">
        <v>18</v>
      </c>
      <c r="N11" s="40">
        <f>IFERROR(__xludf.DUMMYFUNCTION("""COMPUTED_VALUE"""),44361.571111111116)</f>
        <v>44361.57111</v>
      </c>
      <c r="O11" s="5" t="str">
        <f>IFERROR(__xludf.DUMMYFUNCTION("""COMPUTED_VALUE"""),"Coufal again with the assist. What a signing he was for west ham 🤑. Unlucky Scotland. Good goal. Was going to back that Coufal to Schick combo. Will just scored for Czech Republic against Scotland!!! How could you?! Schick one mate.")</f>
        <v>Coufal again with the assist. What a signing he was for west ham 🤑. Unlucky Scotland. Good goal. Was going to back that Coufal to Schick combo. Will just scored for Czech Republic against Scotland!!! How could you?! Schick one mate.</v>
      </c>
      <c r="P11" s="39" t="s">
        <v>17</v>
      </c>
      <c r="Q11" s="40">
        <f>IFERROR(__xludf.DUMMYFUNCTION("""COMPUTED_VALUE"""),44361.57142361111)</f>
        <v>44361.57142</v>
      </c>
      <c r="R11" s="5" t="str">
        <f>IFERROR(__xludf.DUMMYFUNCTION("""COMPUTED_VALUE"""),"Gol de Schick. Gol da tcheca schick. Gol de #CZE. Patrick Schick. Gol de Schick. Escocia 0-1 Rep Checa. Goooool de Schick #CZE. Gol de Schick Euro 2021. Schick still living of that one season at Samp. Schick gol. GOL | #SCO 0-1 #CZE, 42' Schick. Schick ff"&amp;"s. Gran gol de Schick.")</f>
        <v>Gol de Schick. Gol da tcheca schick. Gol de #CZE. Patrick Schick. Gol de Schick. Escocia 0-1 Rep Checa. Goooool de Schick #CZE. Gol de Schick Euro 2021. Schick still living of that one season at Samp. Schick gol. GOL | #SCO 0-1 #CZE, 42' Schick. Schick ffs. Gran gol de Schick.</v>
      </c>
      <c r="S11" s="39" t="s">
        <v>17</v>
      </c>
      <c r="T11" s="40">
        <f>IFERROR(__xludf.DUMMYFUNCTION("""COMPUTED_VALUE"""),44361.571481481486)</f>
        <v>44361.57148</v>
      </c>
      <c r="U11" s="5" t="str">
        <f>IFERROR(__xludf.DUMMYFUNCTION("""COMPUTED_VALUE"""),"GOAL - CZECH REPUBLIC LEAD!. Schick with the opening goal.. #SCO #CZE. That goal's been coming, deserved lead. Beautiful header from Schick. #CZE take the lead... Euro 2020. Schick gives the Czech’s the lead. #SCOCZE. Schick scores. Czech lead! 42’ Scotla"&amp;"nd 0-1 Czech.")</f>
        <v>GOAL - CZECH REPUBLIC LEAD!. Schick with the opening goal.. #SCO #CZE. That goal's been coming, deserved lead. Beautiful header from Schick. #CZE take the lead... Euro 2020. Schick gives the Czech’s the lead. #SCOCZE. Schick scores. Czech lead! 42’ Scotland 0-1 Czech.</v>
      </c>
      <c r="V11" s="39" t="s">
        <v>17</v>
      </c>
      <c r="W11" s="40">
        <f>IFERROR(__xludf.DUMMYFUNCTION("""COMPUTED_VALUE"""),44361.5724537037)</f>
        <v>44361.57245</v>
      </c>
      <c r="X11" s="5" t="str">
        <f>IFERROR(__xludf.DUMMYFUNCTION("""COMPUTED_VALUE"""),"Finally one of those corner kicks paid off!!! EURO 2020. After playing Lawn Tennis with set-pieces, the Czech Republic finally score. #SCOCZE. Finally!! A goal #SCOCZE. Winning a euros game isn't for everyone... #eng #SCOCZE.")</f>
        <v>Finally one of those corner kicks paid off!!! EURO 2020. After playing Lawn Tennis with set-pieces, the Czech Republic finally score. #SCOCZE. Finally!! A goal #SCOCZE. Winning a euros game isn't for everyone... #eng #SCOCZE.</v>
      </c>
      <c r="Y11" s="39" t="s">
        <v>17</v>
      </c>
      <c r="Z11" s="40">
        <f>IFERROR(__xludf.DUMMYFUNCTION("""COMPUTED_VALUE"""),44361.57456018518)</f>
        <v>44361.57456</v>
      </c>
      <c r="AA11" s="5" t="str">
        <f>IFERROR(__xludf.DUMMYFUNCTION("""COMPUTED_VALUE"""),"Christie what a run and why no penalty for mctominay. Why did I think that's a pen for #Sco. 👀. Crikey that would be a penalty In rugby that tackle #SCOCZE. How isn’t that a penalty? Are they all blind or what? #SCO. Why is that not going straight to #VA"&amp;"R??? Clear penalty! #sco.")</f>
        <v>Christie what a run and why no penalty for mctominay. Why did I think that's a pen for #Sco. 👀. Crikey that would be a penalty In rugby that tackle #SCOCZE. How isn’t that a penalty? Are they all blind or what? #SCO. Why is that not going straight to #VAR??? Clear penalty! #sco.</v>
      </c>
      <c r="AB11" s="39" t="s">
        <v>18</v>
      </c>
      <c r="AC11" s="40">
        <f>IFERROR(__xludf.DUMMYFUNCTION("""COMPUTED_VALUE"""),44361.58755787037)</f>
        <v>44361.58756</v>
      </c>
      <c r="AD11" s="5" t="str">
        <f>IFERROR(__xludf.DUMMYFUNCTION("""COMPUTED_VALUE"""),"Oh... hit the bar ! #SCOCZE. Hendry hits the crossbar! Good work from Adams. #SCO. Hits the crossbar.. Scotland National Team.. #SCOCZE. 48' | Off the bar! Jack Hendry's shot from the edge of the box hits the crossbar. A good passage of play from Scotland"&amp;". [0-1]")</f>
        <v>Oh... hit the bar ! #SCOCZE. Hendry hits the crossbar! Good work from Adams. #SCO. Hits the crossbar.. Scotland National Team.. #SCOCZE. 48' | Off the bar! Jack Hendry's shot from the edge of the box hits the crossbar. A good passage of play from Scotland. [0-1]</v>
      </c>
      <c r="AE11" s="39" t="s">
        <v>18</v>
      </c>
      <c r="AF11" s="40">
        <f>IFERROR(__xludf.DUMMYFUNCTION("""COMPUTED_VALUE"""),44361.59263888889)</f>
        <v>44361.59264</v>
      </c>
      <c r="AG11" s="5" t="str">
        <f>IFERROR(__xludf.DUMMYFUNCTION("""COMPUTED_VALUE"""),"Patrik Schick is the best player in the world tbh. Patrik Schick just pissed me off with his class. OUT OF THIS WORLD FROM PATRIK SCHICK 🤯.")</f>
        <v>Patrik Schick is the best player in the world tbh. Patrik Schick just pissed me off with his class. OUT OF THIS WORLD FROM PATRIK SCHICK 🤯.</v>
      </c>
      <c r="AH11" s="39" t="s">
        <v>16</v>
      </c>
      <c r="AI11" s="40">
        <f>IFERROR(__xludf.DUMMYFUNCTION("""COMPUTED_VALUE"""),44361.59501157407)</f>
        <v>44361.59501</v>
      </c>
      <c r="AJ11" s="5" t="str">
        <f>IFERROR(__xludf.DUMMYFUNCTION("""COMPUTED_VALUE"""),"Definitely a fan of the goalie just launching himself into the back of the net. #SCOCZE. The net looks broken from the aftermath of the goal #SCOCZE EURO 2020. The way the keeper went flying into the net is killing me, Schick did him dirty man💀.")</f>
        <v>Definitely a fan of the goalie just launching himself into the back of the net. #SCOCZE. The net looks broken from the aftermath of the goal #SCOCZE EURO 2020. The way the keeper went flying into the net is killing me, Schick did him dirty man💀.</v>
      </c>
      <c r="AK11" s="39" t="s">
        <v>18</v>
      </c>
      <c r="AL11" s="40"/>
      <c r="AM11" s="5"/>
      <c r="AN11" s="5"/>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NOT(ISERROR($E5:DF5))))"),10.0)</f>
        <v>10</v>
      </c>
      <c r="D12" s="26">
        <f t="shared" si="63"/>
        <v>0.1886792453</v>
      </c>
      <c r="E12" s="40">
        <f>IFERROR(__xludf.DUMMYFUNCTION("""COMPUTED_VALUE"""),44361.564664351856)</f>
        <v>44361.56466</v>
      </c>
      <c r="F12" s="5" t="str">
        <f>IFERROR(__xludf.DUMMYFUNCTION("""COMPUTED_VALUE"""),"Class save #CZE. It’s a good save. ‘Mon!!!!! #SCO EURO 2020. Huge chance for #SCO. Great football but what a save! EURO 2020. That was goal-bound from Robertson. Need save for #CZE. Crazy save by Czech keeper EURO 2020. Fantastic save #Sco #CZE. What a sa"&amp;"ve from Vaclik!")</f>
        <v>Class save #CZE. It’s a good save. ‘Mon!!!!! #SCO EURO 2020. Huge chance for #SCO. Great football but what a save! EURO 2020. That was goal-bound from Robertson. Need save for #CZE. Crazy save by Czech keeper EURO 2020. Fantastic save #Sco #CZE. What a save from Vaclik!</v>
      </c>
      <c r="G12" s="39" t="s">
        <v>18</v>
      </c>
      <c r="H12" s="40">
        <f>IFERROR(__xludf.DUMMYFUNCTION("""COMPUTED_VALUE"""),44361.57158564815)</f>
        <v>44361.57159</v>
      </c>
      <c r="I12" s="5" t="str">
        <f>IFERROR(__xludf.DUMMYFUNCTION("""COMPUTED_VALUE"""),"See, it wasn't Soucek but a header from a cross. Stop them putting crosses in. Coufal with a free run and cross, horrendous defending 🥴. Coufal has been torched at the back by Robertson but that was a great cross for Schick to open the scoring #CZE 1-0.")</f>
        <v>See, it wasn't Soucek but a header from a cross. Stop them putting crosses in. Coufal with a free run and cross, horrendous defending 🥴. Coufal has been torched at the back by Robertson but that was a great cross for Schick to open the scoring #CZE 1-0.</v>
      </c>
      <c r="J12" s="39" t="s">
        <v>17</v>
      </c>
      <c r="K12" s="40">
        <f>IFERROR(__xludf.DUMMYFUNCTION("""COMPUTED_VALUE"""),44361.57231481481)</f>
        <v>44361.57231</v>
      </c>
      <c r="L12" s="5" t="str">
        <f>IFERROR(__xludf.DUMMYFUNCTION("""COMPUTED_VALUE"""),"Goallll Czech Republic take the lead Patrick Schick has scored. Goal Schick. Another Bundesliga player.. #SCOCZE. Schick his looked a player throughout. Schick takes the lead for #SCO. EURO 2020. Lovely run by Coufal before assisting Schick. Quality playe"&amp;"r.. EURO 2020 #SCOCZE.")</f>
        <v>Goallll Czech Republic take the lead Patrick Schick has scored. Goal Schick. Another Bundesliga player.. #SCOCZE. Schick his looked a player throughout. Schick takes the lead for #SCO. EURO 2020. Lovely run by Coufal before assisting Schick. Quality player.. EURO 2020 #SCOCZE.</v>
      </c>
      <c r="M12" s="39" t="s">
        <v>17</v>
      </c>
      <c r="N12" s="40">
        <f>IFERROR(__xludf.DUMMYFUNCTION("""COMPUTED_VALUE"""),44361.57462962963)</f>
        <v>44361.57463</v>
      </c>
      <c r="O12" s="5" t="str">
        <f>IFERROR(__xludf.DUMMYFUNCTION("""COMPUTED_VALUE"""),"🇨🇿 Schick nods in his 12th international goal in 27 appearances for Czech Republic ⚽️. EURO 2020. Oh, the Czechs scored? #SCOCZE. Juventus legend Patrick Schick scoring against Scotland. Schick is a player who ghosts the whole game but somehow will scor"&amp;"e out of nowhere 🤷🤷.")</f>
        <v>🇨🇿 Schick nods in his 12th international goal in 27 appearances for Czech Republic ⚽️. EURO 2020. Oh, the Czechs scored? #SCOCZE. Juventus legend Patrick Schick scoring against Scotland. Schick is a player who ghosts the whole game but somehow will score out of nowhere 🤷🤷.</v>
      </c>
      <c r="P12" s="39" t="s">
        <v>18</v>
      </c>
      <c r="Q12" s="40">
        <f>IFERROR(__xludf.DUMMYFUNCTION("""COMPUTED_VALUE"""),44361.59034722223)</f>
        <v>44361.59035</v>
      </c>
      <c r="R12" s="5" t="str">
        <f>IFERROR(__xludf.DUMMYFUNCTION("""COMPUTED_VALUE"""),"CHE GOL SCHICK. SCHICK CO ZA GOL. Che gol di Schick!!!! Offf ne gol be EURO 2020. GOL | #SCO 0-2 #CZE, 53' Schick. QUE GOL SCHICK. GOOOLLL!! SCHICKKKK 52.' #SCO 0-2 #CZE. VERY VERY SICK! ¡Goooooooool de #CZE! Patrick'ten Schick bir gol!!! Ohhh gade on gol"&amp;" Schick fe.")</f>
        <v>CHE GOL SCHICK. SCHICK CO ZA GOL. Che gol di Schick!!!! Offf ne gol be EURO 2020. GOL | #SCO 0-2 #CZE, 53' Schick. QUE GOL SCHICK. GOOOLLL!! SCHICKKKK 52.' #SCO 0-2 #CZE. VERY VERY SICK! ¡Goooooooool de #CZE! Patrick'ten Schick bir gol!!! Ohhh gade on gol Schick fe.</v>
      </c>
      <c r="S12" s="39" t="s">
        <v>17</v>
      </c>
      <c r="T12" s="40">
        <f>IFERROR(__xludf.DUMMYFUNCTION("""COMPUTED_VALUE"""),44361.585277777776)</f>
        <v>44361.58528</v>
      </c>
      <c r="U12" s="5" t="str">
        <f>IFERROR(__xludf.DUMMYFUNCTION("""COMPUTED_VALUE"""),"CHE ADAMS SUPER SUB. Che Adams, good sub that. Need Che on your change this game.. Dykes ain’t doing a thing up top. #SCO 0-1 #CZE. Che Adams on. ✅. Ryan Christie off. ❌. Second half begins. Hopefully Che Adams makes the difference for Scotland. Need some"&amp;" more help upfront.")</f>
        <v>CHE ADAMS SUPER SUB. Che Adams, good sub that. Need Che on your change this game.. Dykes ain’t doing a thing up top. #SCO 0-1 #CZE. Che Adams on. ✅. Ryan Christie off. ❌. Second half begins. Hopefully Che Adams makes the difference for Scotland. Need some more help upfront.</v>
      </c>
      <c r="V12" s="39" t="s">
        <v>17</v>
      </c>
      <c r="W12" s="40">
        <f>IFERROR(__xludf.DUMMYFUNCTION("""COMPUTED_VALUE"""),44361.575057870374)</f>
        <v>44361.57506</v>
      </c>
      <c r="X12" s="5" t="str">
        <f>IFERROR(__xludf.DUMMYFUNCTION("""COMPUTED_VALUE"""),"Fuck you Steve Clarke. Played quality attacking football against Netherlands just to play like a pussy today. A goal down, despite playing the better football in the first half.. we're still in this #SCO. Premier League penalty for Mctominay there.")</f>
        <v>Fuck you Steve Clarke. Played quality attacking football against Netherlands just to play like a pussy today. A goal down, despite playing the better football in the first half.. we're still in this #SCO. Premier League penalty for Mctominay there.</v>
      </c>
      <c r="Y12" s="39" t="s">
        <v>18</v>
      </c>
      <c r="Z12" s="40">
        <f>IFERROR(__xludf.DUMMYFUNCTION("""COMPUTED_VALUE"""),44361.57751157407)</f>
        <v>44361.57751</v>
      </c>
      <c r="AA12" s="5" t="str">
        <f>IFERROR(__xludf.DUMMYFUNCTION("""COMPUTED_VALUE"""),"Ref has Donkey Brains. #SCO. #SCOCZE this ref is a wee dick. Are they using VAR at this tournament? #SCOCZE. ODonnell off, Forrest on, Calmac too. Oh, could we put the VAR plug back in the socket? This ref's lost it.")</f>
        <v>Ref has Donkey Brains. #SCO. #SCOCZE this ref is a wee dick. Are they using VAR at this tournament? #SCOCZE. ODonnell off, Forrest on, Calmac too. Oh, could we put the VAR plug back in the socket? This ref's lost it.</v>
      </c>
      <c r="AB12" s="39" t="s">
        <v>16</v>
      </c>
      <c r="AE12" s="5"/>
      <c r="AH12" s="5"/>
      <c r="AI12" s="40">
        <f>IFERROR(__xludf.DUMMYFUNCTION("""COMPUTED_VALUE"""),44361.59643518519)</f>
        <v>44361.59644</v>
      </c>
      <c r="AJ12" s="5" t="str">
        <f>IFERROR(__xludf.DUMMYFUNCTION("""COMPUTED_VALUE"""),"Thought that was deflecting in then😭 #SCOCZE EURO 2020. Scotland very unlucky yet again. Stuart Armstrong goes close but it deflects over the bar. (61) - Armstrong's shot is deflected over the bar. #SCOCZE. Armstrong’s shot takes a deflection ends up on "&amp;"top of the netting! #SCO.")</f>
        <v>Thought that was deflecting in then😭 #SCOCZE EURO 2020. Scotland very unlucky yet again. Stuart Armstrong goes close but it deflects over the bar. (61) - Armstrong's shot is deflected over the bar. #SCOCZE. Armstrong’s shot takes a deflection ends up on top of the netting! #SCO.</v>
      </c>
      <c r="AK12" s="39" t="s">
        <v>18</v>
      </c>
      <c r="AL12" s="40"/>
      <c r="AM12" s="5"/>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NOT(ISERROR($E6:DF6))))"),19.0)</f>
        <v>19</v>
      </c>
      <c r="D13" s="26">
        <f t="shared" si="63"/>
        <v>0.358490566</v>
      </c>
      <c r="E13" s="40">
        <f>IFERROR(__xludf.DUMMYFUNCTION("""COMPUTED_VALUE"""),44361.57197916666)</f>
        <v>44361.57198</v>
      </c>
      <c r="F13" s="5" t="str">
        <f>IFERROR(__xludf.DUMMYFUNCTION("""COMPUTED_VALUE"""),"😲 Scotland poor defending. #sco #SCOCZE. Rotten defending #sco #SCOCZE. Coufal with a free run and cross, horrendous defending 🥴. This is pish. Shit defending there and we've still have Armstrong and O'Donnell on the pitch. Schick dunked on that defende"&amp;"r.")</f>
        <v>😲 Scotland poor defending. #sco #SCOCZE. Rotten defending #sco #SCOCZE. Coufal with a free run and cross, horrendous defending 🥴. This is pish. Shit defending there and we've still have Armstrong and O'Donnell on the pitch. Schick dunked on that defender.</v>
      </c>
      <c r="G13" s="39" t="s">
        <v>18</v>
      </c>
      <c r="J13" s="5"/>
      <c r="K13" s="40">
        <f>IFERROR(__xludf.DUMMYFUNCTION("""COMPUTED_VALUE"""),44361.59018518518)</f>
        <v>44361.59019</v>
      </c>
      <c r="L13" s="5" t="str">
        <f>IFERROR(__xludf.DUMMYFUNCTION("""COMPUTED_VALUE"""),"Take a freaking bow Patrik Schick. What a goal.... take a bow son #SCOCZE. Just wow! Schick take a bow! Patrick Schick, take a fucking bow. Insane goal. Schick take a fucking bow. Take a bow Patrick Schick, OMG. Best goal of the tournament! Take a bow Sch"&amp;"ick Euro 2020.")</f>
        <v>Take a freaking bow Patrik Schick. What a goal.... take a bow son #SCOCZE. Just wow! Schick take a bow! Patrick Schick, take a fucking bow. Insane goal. Schick take a fucking bow. Take a bow Patrick Schick, OMG. Best goal of the tournament! Take a bow Schick Euro 2020.</v>
      </c>
      <c r="M13" s="39" t="s">
        <v>17</v>
      </c>
      <c r="N13" s="40">
        <f>IFERROR(__xludf.DUMMYFUNCTION("""COMPUTED_VALUE"""),44361.575833333336)</f>
        <v>44361.57583</v>
      </c>
      <c r="O13" s="5" t="str">
        <f>IFERROR(__xludf.DUMMYFUNCTION("""COMPUTED_VALUE"""),"We should not be losing a goal like that. Go and meet the header. Make it yours.. Big 2nd half ahead. #SCOCZE. is the first YouTuber to score at EURO 2020, having opened the scoring vs. Scotland. Excellent header. 🔥. Coufal with the assist! Irons! #COYI "&amp;"⚒️. Coufal assist 👀.")</f>
        <v>We should not be losing a goal like that. Go and meet the header. Make it yours.. Big 2nd half ahead. #SCOCZE. is the first YouTuber to score at EURO 2020, having opened the scoring vs. Scotland. Excellent header. 🔥. Coufal with the assist! Irons! #COYI ⚒️. Coufal assist 👀.</v>
      </c>
      <c r="P13" s="39" t="s">
        <v>16</v>
      </c>
      <c r="S13" s="5"/>
      <c r="T13" s="40">
        <f>IFERROR(__xludf.DUMMYFUNCTION("""COMPUTED_VALUE"""),44361.590370370366)</f>
        <v>44361.59037</v>
      </c>
      <c r="U13" s="5" t="str">
        <f>IFERROR(__xludf.DUMMYFUNCTION("""COMPUTED_VALUE"""),"GOAL Patrik Schick again. Lobbed David Marshall from just inside the Scotland half. 2-0 Czech Republic. Gooooallll Schick from half line , Scotland in the mud. Jesus fuck, that second Schick goal at #SCOCZE. Patrick Schick , what goal Goosebumps , This wh"&amp;"at EURO 2020 needed.")</f>
        <v>GOAL Patrik Schick again. Lobbed David Marshall from just inside the Scotland half. 2-0 Czech Republic. Gooooallll Schick from half line , Scotland in the mud. Jesus fuck, that second Schick goal at #SCOCZE. Patrick Schick , what goal Goosebumps , This what EURO 2020 needed.</v>
      </c>
      <c r="V13" s="39" t="s">
        <v>17</v>
      </c>
      <c r="W13" s="40">
        <f>IFERROR(__xludf.DUMMYFUNCTION("""COMPUTED_VALUE"""),44361.59135416667)</f>
        <v>44361.59135</v>
      </c>
      <c r="X13" s="5" t="str">
        <f>IFERROR(__xludf.DUMMYFUNCTION("""COMPUTED_VALUE"""),"OH BLOODY FOOTBALL GODS WHAT A GOAL BY SCHICK. The Schick they use to hype is finally showing up on the big stage. That tenner I had on Schick to win the… nah I’m kidding. International football is Schick anyway. Patrik Schick is my new favourite football"&amp;"er #SCOCZE.")</f>
        <v>OH BLOODY FOOTBALL GODS WHAT A GOAL BY SCHICK. The Schick they use to hype is finally showing up on the big stage. That tenner I had on Schick to win the… nah I’m kidding. International football is Schick anyway. Patrik Schick is my new favourite footballer #SCOCZE.</v>
      </c>
      <c r="Y13" s="39" t="s">
        <v>17</v>
      </c>
      <c r="Z13" s="40">
        <f>IFERROR(__xludf.DUMMYFUNCTION("""COMPUTED_VALUE"""),44361.591099537036)</f>
        <v>44361.5911</v>
      </c>
      <c r="AA13" s="5" t="str">
        <f>IFERROR(__xludf.DUMMYFUNCTION("""COMPUTED_VALUE"""),"Poor decision from hendry, not good enough. Fuck Jack Hendry. Stupid stupid decision. Poor decision from Jack Hendry! Get jack Hendry tae fuck btw, nonsense decision to try and take that on. That’s on hendry !! … bad decision making. Moronic decision to s"&amp;"hoot from Hendry.")</f>
        <v>Poor decision from hendry, not good enough. Fuck Jack Hendry. Stupid stupid decision. Poor decision from Jack Hendry! Get jack Hendry tae fuck btw, nonsense decision to try and take that on. That’s on hendry !! … bad decision making. Moronic decision to shoot from Hendry.</v>
      </c>
      <c r="AB13" s="39" t="s">
        <v>15</v>
      </c>
      <c r="AE13" s="5"/>
      <c r="AH13" s="5"/>
      <c r="AK13" s="5"/>
      <c r="AL13" s="40"/>
      <c r="AM13" s="5"/>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NOT(ISERROR($E7:DF7))))"),18.0)</f>
        <v>18</v>
      </c>
      <c r="D14" s="26">
        <f t="shared" si="63"/>
        <v>0.3396226415</v>
      </c>
      <c r="E14" s="40">
        <f>IFERROR(__xludf.DUMMYFUNCTION("""COMPUTED_VALUE"""),44361.59060185185)</f>
        <v>44361.5906</v>
      </c>
      <c r="F14" s="5" t="str">
        <f>IFERROR(__xludf.DUMMYFUNCTION("""COMPUTED_VALUE"""),"What a finish!!!!!! What's the keeper doing out there 😂 #CZE #sco. Best goal of the tournament! Take a bow Schick Euro 2020. Fucking hell!!! See Schick's goal. Saw the keeper off his line. Patrick schik might have scored the best goal of EURO 2020.")</f>
        <v>What a finish!!!!!! What's the keeper doing out there 😂 #CZE #sco. Best goal of the tournament! Take a bow Schick Euro 2020. Fucking hell!!! See Schick's goal. Saw the keeper off his line. Patrick schik might have scored the best goal of EURO 2020.</v>
      </c>
      <c r="G14" s="39" t="s">
        <v>17</v>
      </c>
      <c r="J14" s="5"/>
      <c r="K14" s="40">
        <f>IFERROR(__xludf.DUMMYFUNCTION("""COMPUTED_VALUE"""),44361.5997337963)</f>
        <v>44361.59973</v>
      </c>
      <c r="L14" s="5" t="str">
        <f>IFERROR(__xludf.DUMMYFUNCTION("""COMPUTED_VALUE"""),"Take off dykes. This Lyndon Dykes player is terrible. Why didn’t Dykes just put his foot through it?? Shite player. Dykes might actually be the worst player to ever grace the Euros. TAKE DYKES OFF 🤬🤬🤬🤬. Send Dykes home. Awful awful player. Dykes is a "&amp;"useless player wtf #SCO.")</f>
        <v>Take off dykes. This Lyndon Dykes player is terrible. Why didn’t Dykes just put his foot through it?? Shite player. Dykes might actually be the worst player to ever grace the Euros. TAKE DYKES OFF 🤬🤬🤬🤬. Send Dykes home. Awful awful player. Dykes is a useless player wtf #SCO.</v>
      </c>
      <c r="M14" s="39" t="s">
        <v>16</v>
      </c>
      <c r="N14" s="40">
        <f>IFERROR(__xludf.DUMMYFUNCTION("""COMPUTED_VALUE"""),44361.57703703704)</f>
        <v>44361.57704</v>
      </c>
      <c r="O14" s="5" t="str">
        <f>IFERROR(__xludf.DUMMYFUNCTION("""COMPUTED_VALUE"""),"Disappointing to concede having played well for most of the half. #SCOCZE. Best tackle of the first half half was Stephen O’Donnells on John McGinn when he was through on goal 😑. Great goal from Schick just before half time! Can Scotland bounce back EURO"&amp;" 2020.")</f>
        <v>Disappointing to concede having played well for most of the half. #SCOCZE. Best tackle of the first half half was Stephen O’Donnells on John McGinn when he was through on goal 😑. Great goal from Schick just before half time! Can Scotland bounce back EURO 2020.</v>
      </c>
      <c r="P14" s="39" t="s">
        <v>18</v>
      </c>
      <c r="S14" s="5"/>
      <c r="T14" s="40">
        <f>IFERROR(__xludf.DUMMYFUNCTION("""COMPUTED_VALUE"""),44361.602268518516)</f>
        <v>44361.60227</v>
      </c>
      <c r="U14" s="5" t="str">
        <f>IFERROR(__xludf.DUMMYFUNCTION("""COMPUTED_VALUE"""),"I didnt know half these guys were Scottish. Armstrong and Liam Cooper specifically. Schick finish! Wonderful second goal for #CZE just when #SCO were getting into it. David Marshall… 100% to blame for second goal! Scotland National Team 😡.")</f>
        <v>I didnt know half these guys were Scottish. Armstrong and Liam Cooper specifically. Schick finish! Wonderful second goal for #CZE just when #SCO were getting into it. David Marshall… 100% to blame for second goal! Scotland National Team 😡.</v>
      </c>
      <c r="V14" s="39" t="s">
        <v>14</v>
      </c>
      <c r="W14" s="40">
        <f>IFERROR(__xludf.DUMMYFUNCTION("""COMPUTED_VALUE"""),44361.592824074076)</f>
        <v>44361.59282</v>
      </c>
      <c r="X14" s="5" t="str">
        <f>IFERROR(__xludf.DUMMYFUNCTION("""COMPUTED_VALUE"""),"Teamspirt💪🏻🔥 What a win en great atmosphere 🦁 EURO 2020. I feel sorry for people that don't like football EURO 2020. I actually predicted #SCO to win this game 1-0 lmaooo. I'm sorry Scotland, you'll never win with an ex Norwich goalkeeper #SCOCZE #Eur"&amp;"os.")</f>
        <v>Teamspirt💪🏻🔥 What a win en great atmosphere 🦁 EURO 2020. I feel sorry for people that don't like football EURO 2020. I actually predicted #SCO to win this game 1-0 lmaooo. I'm sorry Scotland, you'll never win with an ex Norwich goalkeeper #SCOCZE #Euros.</v>
      </c>
      <c r="Y14" s="39" t="s">
        <v>16</v>
      </c>
      <c r="Z14" s="40">
        <f>IFERROR(__xludf.DUMMYFUNCTION("""COMPUTED_VALUE"""),44361.59414351852)</f>
        <v>44361.59414</v>
      </c>
      <c r="AA14" s="5" t="str">
        <f>IFERROR(__xludf.DUMMYFUNCTION("""COMPUTED_VALUE"""),"Irrelevant to everything but i do enjoy referees in pink #SCOCZE. Why is Ander Herrera refereeing this match? #SCOCZE. This referee is an absolute clown. #SCOCZE. Getting absolutely nothing at all out of this referee #sco.")</f>
        <v>Irrelevant to everything but i do enjoy referees in pink #SCOCZE. Why is Ander Herrera refereeing this match? #SCOCZE. This referee is an absolute clown. #SCOCZE. Getting absolutely nothing at all out of this referee #sco.</v>
      </c>
      <c r="AB14" s="39" t="s">
        <v>16</v>
      </c>
      <c r="AE14" s="5"/>
      <c r="AH14" s="5"/>
      <c r="AK14" s="5"/>
      <c r="AL14" s="40"/>
      <c r="AM14" s="5"/>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53</v>
      </c>
      <c r="D15" s="26">
        <f t="shared" si="64"/>
        <v>1</v>
      </c>
      <c r="E15" s="40">
        <f>IFERROR(__xludf.DUMMYFUNCTION("""COMPUTED_VALUE"""),44361.595937499995)</f>
        <v>44361.59594</v>
      </c>
      <c r="F15" s="5" t="str">
        <f>IFERROR(__xludf.DUMMYFUNCTION("""COMPUTED_VALUE"""),"Scotland missed 3 chances could have scored 3 if the goalkeeper of #CZE wouldn't have stopped it saves in first half. TOP SAVE BY VACLIK 🇨🇿. McLaughlin wd have saved that 🤣. You don’t save those! 🤣. #SCOCZE EURO 2020..")</f>
        <v>Scotland missed 3 chances could have scored 3 if the goalkeeper of #CZE wouldn't have stopped it saves in first half. TOP SAVE BY VACLIK 🇨🇿. McLaughlin wd have saved that 🤣. You don’t save those! 🤣. #SCOCZE EURO 2020..</v>
      </c>
      <c r="G15" s="39" t="s">
        <v>18</v>
      </c>
      <c r="J15" s="5"/>
      <c r="K15" s="40">
        <f>IFERROR(__xludf.DUMMYFUNCTION("""COMPUTED_VALUE"""),44361.60943287037)</f>
        <v>44361.60943</v>
      </c>
      <c r="L15" s="5" t="str">
        <f>IFERROR(__xludf.DUMMYFUNCTION("""COMPUTED_VALUE"""),"Craig | ☀️🌵 Suns in FOAH Will Forrest take his shirt off if he scores? FINALLY TAKES O’DONNELL OFF AND PUTS ON FORREST WHEN PATTERSON IS SITTING THERE 😂😂😂😂😂😂😂😂😂😂. And Forrest is on now. Clarke yet again picking players based on current form…. J"&amp;"ames Forrest. Good player.")</f>
        <v>Craig | ☀️🌵 Suns in FOAH Will Forrest take his shirt off if he scores? FINALLY TAKES O’DONNELL OFF AND PUTS ON FORREST WHEN PATTERSON IS SITTING THERE 😂😂😂😂😂😂😂😂😂😂. And Forrest is on now. Clarke yet again picking players based on current form…. James Forrest. Good player.</v>
      </c>
      <c r="M15" s="39" t="s">
        <v>17</v>
      </c>
      <c r="N15" s="40">
        <f>IFERROR(__xludf.DUMMYFUNCTION("""COMPUTED_VALUE"""),44361.58767361111)</f>
        <v>44361.58767</v>
      </c>
      <c r="O15" s="5" t="str">
        <f>IFERROR(__xludf.DUMMYFUNCTION("""COMPUTED_VALUE"""),"Patrik Schick puts the Czech Republic ahead with a great header past David Marshall! His 11th International goal 🇨🇿. 🇨🇿 Patrik Schick has now scored 7 goals in his last 11 games for Czech Republic 🔥. EURO 2020.")</f>
        <v>Patrik Schick puts the Czech Republic ahead with a great header past David Marshall! His 11th International goal 🇨🇿. 🇨🇿 Patrik Schick has now scored 7 goals in his last 11 games for Czech Republic 🔥. EURO 2020.</v>
      </c>
      <c r="P15" s="39" t="s">
        <v>18</v>
      </c>
      <c r="S15" s="5"/>
      <c r="T15" s="40">
        <f>IFERROR(__xludf.DUMMYFUNCTION("""COMPUTED_VALUE"""),44361.603425925925)</f>
        <v>44361.60343</v>
      </c>
      <c r="U15" s="5" t="str">
        <f>IFERROR(__xludf.DUMMYFUNCTION("""COMPUTED_VALUE"""),"Steve Clarke got todays line up and subs all wrong. All FM players watching Hlozek being subbed in at the euros. Vydra good sub to bring on here. Get in behind. He's made 3 subs. Gilmour isn't on. Patterson isn't in. O'Donnell is still on. Mcginn and mcto"&amp;"minay 2nd half.")</f>
        <v>Steve Clarke got todays line up and subs all wrong. All FM players watching Hlozek being subbed in at the euros. Vydra good sub to bring on here. Get in behind. He's made 3 subs. Gilmour isn't on. Patterson isn't in. O'Donnell is still on. Mcginn and mctominay 2nd half.</v>
      </c>
      <c r="V15" s="39" t="s">
        <v>17</v>
      </c>
      <c r="W15" s="40">
        <f>IFERROR(__xludf.DUMMYFUNCTION("""COMPUTED_VALUE"""),44361.5984375)</f>
        <v>44361.59844</v>
      </c>
      <c r="X15" s="5" t="str">
        <f>IFERROR(__xludf.DUMMYFUNCTION("""COMPUTED_VALUE"""),"Lyndon Dykes might be the worst footballer I've ever seen. Is this Dykes boy a footballer? Lyndon Dykes awful footballer. Jesus Lyndon Dykes is a terrible footballer EURO 2020. How's dykes a football player ? This Lyndon Dykes guy has to go back to league"&amp;" one.")</f>
        <v>Lyndon Dykes might be the worst footballer I've ever seen. Is this Dykes boy a footballer? Lyndon Dykes awful footballer. Jesus Lyndon Dykes is a terrible footballer EURO 2020. How's dykes a football player ? This Lyndon Dykes guy has to go back to league one.</v>
      </c>
      <c r="Y15" s="39" t="s">
        <v>16</v>
      </c>
      <c r="Z15" s="40">
        <f>IFERROR(__xludf.DUMMYFUNCTION("""COMPUTED_VALUE"""),44361.61730324074)</f>
        <v>44361.6173</v>
      </c>
      <c r="AA15" s="5" t="str">
        <f>IFERROR(__xludf.DUMMYFUNCTION("""COMPUTED_VALUE"""),"Imagine being a ref at the Euros and being this fucking shite at your job #SCO. The ref's given Scotland nothing today #SCOCZE. This ref is shiiiiiit #SCO #CZE. On a scale of 10-10 how much does this ref need the Czechs to win? EURO 2020 #Scotland.")</f>
        <v>Imagine being a ref at the Euros and being this fucking shite at your job #SCO. The ref's given Scotland nothing today #SCOCZE. This ref is shiiiiiit #SCO #CZE. On a scale of 10-10 how much does this ref need the Czechs to win? EURO 2020 #Scotland.</v>
      </c>
      <c r="AB15" s="39" t="s">
        <v>16</v>
      </c>
      <c r="AE15" s="5"/>
      <c r="AH15" s="5"/>
      <c r="AK15" s="5"/>
      <c r="AL15" s="40"/>
      <c r="AM15" s="5"/>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NOT(ISERROR($E8:DF8))))"),0.7138396956578775)</f>
        <v>0.7138396957</v>
      </c>
      <c r="E16" s="40">
        <f>IFERROR(__xludf.DUMMYFUNCTION("""COMPUTED_VALUE"""),44361.597766203704)</f>
        <v>44361.59777</v>
      </c>
      <c r="F16" s="5" t="str">
        <f>IFERROR(__xludf.DUMMYFUNCTION("""COMPUTED_VALUE"""),"Smdh why is Marshall that far off his line 🤦 Smart by Schick but sh*t from the Scotland goalkeeper 😅 EURO 2020 #SCOCZE. Steve Clarke just changed David Marshall from Sweeper keeper (attack) to Goalkeeper (defend). Marshall, you are a keeper not a sweepe"&amp;"r! #Scotland #SCOCZE.")</f>
        <v>Smdh why is Marshall that far off his line 🤦 Smart by Schick but sh*t from the Scotland goalkeeper 😅 EURO 2020 #SCOCZE. Steve Clarke just changed David Marshall from Sweeper keeper (attack) to Goalkeeper (defend). Marshall, you are a keeper not a sweeper! #Scotland #SCOCZE.</v>
      </c>
      <c r="G16" s="39" t="s">
        <v>18</v>
      </c>
      <c r="J16" s="5"/>
      <c r="K16" s="40">
        <f>IFERROR(__xludf.DUMMYFUNCTION("""COMPUTED_VALUE"""),44361.61655092593)</f>
        <v>44361.61655</v>
      </c>
      <c r="L16" s="5" t="str">
        <f>IFERROR(__xludf.DUMMYFUNCTION("""COMPUTED_VALUE"""),"Watch Steve Clarke come out with some bullshit likes theres been positives to take in his interview after the game 🤦🏻‍♂️🤦🏻‍♂️. Team like Scotland having a player like Billy Gilmour and not using him is absolutely criminal....")</f>
        <v>Watch Steve Clarke come out with some bullshit likes theres been positives to take in his interview after the game 🤦🏻‍♂️🤦🏻‍♂️. Team like Scotland having a player like Billy Gilmour and not using him is absolutely criminal....</v>
      </c>
      <c r="M16" s="39" t="s">
        <v>16</v>
      </c>
      <c r="N16" s="40">
        <f>IFERROR(__xludf.DUMMYFUNCTION("""COMPUTED_VALUE"""),44361.58891203704)</f>
        <v>44361.58891</v>
      </c>
      <c r="O16" s="5" t="str">
        <f>IFERROR(__xludf.DUMMYFUNCTION("""COMPUTED_VALUE"""),"Goal keepers win you matches,look at vaclik with that save. Saved a certain goal there! #CZESCO. I can’t believe one of the potential saves of the tournament will be one that saved an own goal #CZE. Tomas Vaclik just saved Tomas Kalas from scoring a beaut"&amp;"iful own goal.")</f>
        <v>Goal keepers win you matches,look at vaclik with that save. Saved a certain goal there! #CZESCO. I can’t believe one of the potential saves of the tournament will be one that saved an own goal #CZE. Tomas Vaclik just saved Tomas Kalas from scoring a beautiful own goal.</v>
      </c>
      <c r="P16" s="39" t="s">
        <v>18</v>
      </c>
      <c r="S16" s="5"/>
      <c r="T16" s="40">
        <f>IFERROR(__xludf.DUMMYFUNCTION("""COMPUTED_VALUE"""),44361.60912037037)</f>
        <v>44361.60912</v>
      </c>
      <c r="U16" s="5" t="str">
        <f>IFERROR(__xludf.DUMMYFUNCTION("""COMPUTED_VALUE"""),"James Forrest🤣🤣🤣 clarke needs to stay off the sauce. He's just subbed o'donnell for forrest I've got no words. Dykes and Forrest should have been on half an hour ago ffs. 5 subs, Gilmour and Patterson not even brought on. Pathetic.")</f>
        <v>James Forrest🤣🤣🤣 clarke needs to stay off the sauce. He's just subbed o'donnell for forrest I've got no words. Dykes and Forrest should have been on half an hour ago ffs. 5 subs, Gilmour and Patterson not even brought on. Pathetic.</v>
      </c>
      <c r="V16" s="39" t="s">
        <v>17</v>
      </c>
      <c r="W16" s="40">
        <f>IFERROR(__xludf.DUMMYFUNCTION("""COMPUTED_VALUE"""),44361.60055555556)</f>
        <v>44361.60056</v>
      </c>
      <c r="X16" s="5" t="str">
        <f>IFERROR(__xludf.DUMMYFUNCTION("""COMPUTED_VALUE"""),"I know fuck all about football, but that was a goal and a half 😲👏🏻 Schick really did T H A T. Vaclik will finally get the plaudits he deserves at the end of this tournament. If Scotland had even a single good striker they'd be winning this game. #SCOCZ"&amp;"E.")</f>
        <v>I know fuck all about football, but that was a goal and a half 😲👏🏻 Schick really did T H A T. Vaclik will finally get the plaudits he deserves at the end of this tournament. If Scotland had even a single good striker they'd be winning this game. #SCOCZE.</v>
      </c>
      <c r="Y16" s="39" t="s">
        <v>14</v>
      </c>
      <c r="AB16" s="5"/>
      <c r="AE16" s="5"/>
      <c r="AH16" s="5"/>
      <c r="AK16" s="5"/>
      <c r="AL16" s="40"/>
      <c r="AM16" s="5"/>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0.6981132075</v>
      </c>
      <c r="E17" s="40">
        <f>IFERROR(__xludf.DUMMYFUNCTION("""COMPUTED_VALUE"""),44361.60170138889)</f>
        <v>44361.6017</v>
      </c>
      <c r="F17" s="5" t="str">
        <f>IFERROR(__xludf.DUMMYFUNCTION("""COMPUTED_VALUE"""),"If only #SCO called up it's best player.... Probably the best goal of the tournament EURO 2020. The wait is nearly over... ⌛. Best of luck to Robert Lewandowski in his opening match of EURO 2020 today! 🔴⚪. David Marshall did his best to keep it out 🧤.")</f>
        <v>If only #SCO called up it's best player.... Probably the best goal of the tournament EURO 2020. The wait is nearly over... ⌛. Best of luck to Robert Lewandowski in his opening match of EURO 2020 today! 🔴⚪. David Marshall did his best to keep it out 🧤.</v>
      </c>
      <c r="G17" s="39" t="s">
        <v>14</v>
      </c>
      <c r="J17" s="5"/>
      <c r="K17" s="40">
        <f>IFERROR(__xludf.DUMMYFUNCTION("""COMPUTED_VALUE"""),44361.62082175926)</f>
        <v>44361.62082</v>
      </c>
      <c r="L17" s="5" t="str">
        <f>IFERROR(__xludf.DUMMYFUNCTION("""COMPUTED_VALUE"""),"Schick is a great player. PATRIK SCHICK TAKE A BOW. Never heard or seen Partrick Schick but ayeee what a player!! At least England Croatia are there for the taking! #SCO. If only the Twitter armchair football players were on the field. They would have had"&amp;" it sorted. 🙄 #SCO.")</f>
        <v>Schick is a great player. PATRIK SCHICK TAKE A BOW. Never heard or seen Partrick Schick but ayeee what a player!! At least England Croatia are there for the taking! #SCO. If only the Twitter armchair football players were on the field. They would have had it sorted. 🙄 #SCO.</v>
      </c>
      <c r="M17" s="5"/>
      <c r="N17" s="40">
        <f>IFERROR(__xludf.DUMMYFUNCTION("""COMPUTED_VALUE"""),44361.599907407406)</f>
        <v>44361.59991</v>
      </c>
      <c r="O17" s="5" t="str">
        <f>IFERROR(__xludf.DUMMYFUNCTION("""COMPUTED_VALUE"""),"That’s so poor from Dykes, you have got to be scoring that. This guy Dykes has missed too many chances … he has to score that. Dykes has to score then. He has not been on it today. Put your foot through it. Dykes should have scored that!... But what a sav"&amp;"e it was.")</f>
        <v>That’s so poor from Dykes, you have got to be scoring that. This guy Dykes has missed too many chances … he has to score that. Dykes has to score then. He has not been on it today. Put your foot through it. Dykes should have scored that!... But what a save it was.</v>
      </c>
      <c r="P17" s="39" t="s">
        <v>18</v>
      </c>
      <c r="S17" s="5"/>
      <c r="T17" s="40">
        <f>IFERROR(__xludf.DUMMYFUNCTION("""COMPUTED_VALUE"""),44361.61982638889)</f>
        <v>44361.61983</v>
      </c>
      <c r="U17" s="5" t="str">
        <f>IFERROR(__xludf.DUMMYFUNCTION("""COMPUTED_VALUE"""),"Schick 2nd goal was sick! #SCOCZE. Harsh to blame Hendry for the second goal because he took a shot. Should be blaming Marshall for being so far up the pitch #SCOCZE. That second schick is pretty decent. Schick. Vaclík. No more words needed. EURO 2020.")</f>
        <v>Schick 2nd goal was sick! #SCOCZE. Harsh to blame Hendry for the second goal because he took a shot. Should be blaming Marshall for being so far up the pitch #SCOCZE. That second schick is pretty decent. Schick. Vaclík. No more words needed. EURO 2020.</v>
      </c>
      <c r="V17" s="39" t="s">
        <v>14</v>
      </c>
      <c r="W17" s="40">
        <f>IFERROR(__xludf.DUMMYFUNCTION("""COMPUTED_VALUE"""),44361.601689814815)</f>
        <v>44361.60169</v>
      </c>
      <c r="X17" s="5" t="str">
        <f>IFERROR(__xludf.DUMMYFUNCTION("""COMPUTED_VALUE"""),"Ryan Fraser coming on now after refusing to play the opening hour as he wanted to stay fit for the final half hour. Scotland would be winning if McKenna was playing. Dykes should not b playing football. If billy gilmour plays Scotland win this game simple"&amp;" #SCOCZE.")</f>
        <v>Ryan Fraser coming on now after refusing to play the opening hour as he wanted to stay fit for the final half hour. Scotland would be winning if McKenna was playing. Dykes should not b playing football. If billy gilmour plays Scotland win this game simple #SCOCZE.</v>
      </c>
      <c r="Y17" s="39" t="s">
        <v>17</v>
      </c>
      <c r="AB17" s="5"/>
      <c r="AE17" s="5"/>
      <c r="AH17" s="5"/>
      <c r="AK17" s="5"/>
      <c r="AL17" s="40"/>
      <c r="AM17" s="5"/>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33" t="s">
        <v>45</v>
      </c>
      <c r="E18" s="40">
        <f>IFERROR(__xludf.DUMMYFUNCTION("""COMPUTED_VALUE"""),44361.60325231482)</f>
        <v>44361.60325</v>
      </c>
      <c r="F18" s="5" t="str">
        <f>IFERROR(__xludf.DUMMYFUNCTION("""COMPUTED_VALUE"""),"Imagine playing Shatta Wale's enter the net song in the background of Patrick Schick'a keeper enter the net simple koraaa😂😂. I feel for the goalkeeper 🤣🤣😩. Patrick Schick filthy goal!!! #SCOCZE. Czech republic's Goalkeeper today - #SCOCZE EURO 2020.")</f>
        <v>Imagine playing Shatta Wale's enter the net song in the background of Patrick Schick'a keeper enter the net simple koraaa😂😂. I feel for the goalkeeper 🤣🤣😩. Patrick Schick filthy goal!!! #SCOCZE. Czech republic's Goalkeeper today - #SCOCZE EURO 2020.</v>
      </c>
      <c r="G18" s="39" t="s">
        <v>15</v>
      </c>
      <c r="J18" s="5"/>
      <c r="K18" s="40">
        <f>IFERROR(__xludf.DUMMYFUNCTION("""COMPUTED_VALUE"""),44361.62265046296)</f>
        <v>44361.62265</v>
      </c>
      <c r="L18" s="5" t="str">
        <f>IFERROR(__xludf.DUMMYFUNCTION("""COMPUTED_VALUE"""),"We had better chances and were the better team. Hendry taking a shot from 40 yards and Dykes not finishing cost us. So disappointing, not taking our chances has cost us big time 😢. #SCO EURO 2020.")</f>
        <v>We had better chances and were the better team. Hendry taking a shot from 40 yards and Dykes not finishing cost us. So disappointing, not taking our chances has cost us big time 😢. #SCO EURO 2020.</v>
      </c>
      <c r="M18" s="5"/>
      <c r="P18" s="5"/>
      <c r="S18" s="5"/>
      <c r="T18" s="40">
        <f>IFERROR(__xludf.DUMMYFUNCTION("""COMPUTED_VALUE"""),44361.62106481481)</f>
        <v>44361.62106</v>
      </c>
      <c r="U18" s="5" t="str">
        <f>IFERROR(__xludf.DUMMYFUNCTION("""COMPUTED_VALUE"""),"Nice victory for my 2nd team #CZE. Clarke needs to quit picking his pals and pick players who will make a difference otherwise we’re fucking wasting our time here #SCO. Can we sub Steve Clarke for the rest of the euros ? Mcginn and mctominay 2nd half.")</f>
        <v>Nice victory for my 2nd team #CZE. Clarke needs to quit picking his pals and pick players who will make a difference otherwise we’re fucking wasting our time here #SCO. Can we sub Steve Clarke for the rest of the euros ? Mcginn and mctominay 2nd half.</v>
      </c>
      <c r="V18" s="5"/>
      <c r="W18" s="40">
        <f>IFERROR(__xludf.DUMMYFUNCTION("""COMPUTED_VALUE"""),44361.60282407407)</f>
        <v>44361.60282</v>
      </c>
      <c r="X18" s="5" t="str">
        <f>IFERROR(__xludf.DUMMYFUNCTION("""COMPUTED_VALUE"""),"2-0 down and we bring on Callum mcgregor 🤮🤮Clarke’s actually a football terrorists. 2-0 down and we bring on mcgregor Steve Clarke football terrorist.")</f>
        <v>2-0 down and we bring on Callum mcgregor 🤮🤮Clarke’s actually a football terrorists. 2-0 down and we bring on mcgregor Steve Clarke football terrorist.</v>
      </c>
      <c r="Y18" s="39" t="s">
        <v>17</v>
      </c>
      <c r="AB18" s="5"/>
      <c r="AE18" s="5"/>
      <c r="AH18" s="5"/>
      <c r="AK18" s="5"/>
      <c r="AL18" s="40"/>
      <c r="AM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E19" s="40">
        <f>IFERROR(__xludf.DUMMYFUNCTION("""COMPUTED_VALUE"""),44361.61729166667)</f>
        <v>44361.61729</v>
      </c>
      <c r="F19" s="5" t="str">
        <f>IFERROR(__xludf.DUMMYFUNCTION("""COMPUTED_VALUE"""),"Good save Marshall vydra close to a 3rd. Great save, Marshall. 👏. #SCOCZE EURO 2020. David Marshall showing again there that it’s much easier to save shots when not 40 yards off your line. Some cracking goalkeeping from Vaclik and Marshall today 🧤.")</f>
        <v>Good save Marshall vydra close to a 3rd. Great save, Marshall. 👏. #SCOCZE EURO 2020. David Marshall showing again there that it’s much easier to save shots when not 40 yards off your line. Some cracking goalkeeping from Vaclik and Marshall today 🧤.</v>
      </c>
      <c r="G19" s="39" t="s">
        <v>18</v>
      </c>
      <c r="J19" s="5"/>
      <c r="M19" s="5"/>
      <c r="P19" s="5"/>
      <c r="S19" s="5"/>
      <c r="V19" s="5"/>
      <c r="W19" s="40">
        <f>IFERROR(__xludf.DUMMYFUNCTION("""COMPUTED_VALUE"""),44361.609189814815)</f>
        <v>44361.60919</v>
      </c>
      <c r="X19" s="5" t="str">
        <f>IFERROR(__xludf.DUMMYFUNCTION("""COMPUTED_VALUE"""),"Oh look ODonnell finally off for Forrest. And Nisbet on for Dykes. Dykes off, football wins.. FINALLY TAKES O’DONNELL OFF AND PUTS ON FORREST WHEN PATTERSON IS SITTING THERE 😂😂😂😂😂😂😂😂😂😂. DYKES OFF FINALLY. Champions League Winner still on bench. "&amp;"Hilarious. #Sco.")</f>
        <v>Oh look ODonnell finally off for Forrest. And Nisbet on for Dykes. Dykes off, football wins.. FINALLY TAKES O’DONNELL OFF AND PUTS ON FORREST WHEN PATTERSON IS SITTING THERE 😂😂😂😂😂😂😂😂😂😂. DYKES OFF FINALLY. Champions League Winner still on bench. Hilarious. #Sco.</v>
      </c>
      <c r="Y19" s="39" t="s">
        <v>17</v>
      </c>
      <c r="AB19" s="5"/>
      <c r="AE19" s="5"/>
      <c r="AH19" s="5"/>
      <c r="AK19" s="5"/>
      <c r="AL19" s="40"/>
      <c r="AM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2</v>
      </c>
      <c r="D20" s="26">
        <f>IFERROR(__xludf.DUMMYFUNCTION("IF(C20, COUNTIF(FILTER($D$26:$D1007, $A$26:$A1007=A20), TRUE)/C20, 0)"),1.0)</f>
        <v>1</v>
      </c>
      <c r="G20" s="5"/>
      <c r="J20" s="5"/>
      <c r="M20" s="5"/>
      <c r="P20" s="5"/>
      <c r="S20" s="5"/>
      <c r="V20" s="5"/>
      <c r="W20" s="40">
        <f>IFERROR(__xludf.DUMMYFUNCTION("""COMPUTED_VALUE"""),44361.61984953703)</f>
        <v>44361.61985</v>
      </c>
      <c r="X20" s="5" t="str">
        <f>IFERROR(__xludf.DUMMYFUNCTION("""COMPUTED_VALUE"""),"Blaming Jack Hendry for taking a shot, not having it. That's football. That patrick schick goal will win goal of the tournament. Patrik Schick's wonder goal secures an opening game win for Czech Republic. Simple sensational. EURO 2020.")</f>
        <v>Blaming Jack Hendry for taking a shot, not having it. That's football. That patrick schick goal will win goal of the tournament. Patrik Schick's wonder goal secures an opening game win for Czech Republic. Simple sensational. EURO 2020.</v>
      </c>
      <c r="Y20" s="39" t="s">
        <v>16</v>
      </c>
      <c r="AB20" s="5"/>
      <c r="AE20" s="5"/>
      <c r="AH20" s="5"/>
      <c r="AK20" s="5"/>
      <c r="AL20" s="40"/>
      <c r="AM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0</v>
      </c>
      <c r="D21" s="26">
        <f>IFERROR(__xludf.DUMMYFUNCTION("IF(C21, COUNTIF(FILTER($D$26:$D1007, $A$26:$A1007=A21), TRUE)/C21, 0)"),0.0)</f>
        <v>0</v>
      </c>
      <c r="G21" s="5"/>
      <c r="J21" s="5"/>
      <c r="M21" s="5"/>
      <c r="P21" s="5"/>
      <c r="S21" s="5"/>
      <c r="V21" s="5"/>
      <c r="W21" s="40">
        <f>IFERROR(__xludf.DUMMYFUNCTION("""COMPUTED_VALUE"""),44361.62150462963)</f>
        <v>44361.6215</v>
      </c>
      <c r="X21" s="5" t="str">
        <f>IFERROR(__xludf.DUMMYFUNCTION("""COMPUTED_VALUE"""),"Final whistle drowned out by the sound of school kid’s hearts breaking across the country... #SCO EURO 2020. Final #SCO 0 #CZE 2. Scotland fans boo their team at the final whistle. Disgraceful. #SCOCZE. 🇲🇰 North Macedonia's first final tournament 🔜. EU"&amp;"RO 2020. #SCOCZE final.")</f>
        <v>Final whistle drowned out by the sound of school kid’s hearts breaking across the country... #SCO EURO 2020. Final #SCO 0 #CZE 2. Scotland fans boo their team at the final whistle. Disgraceful. #SCOCZE. 🇲🇰 North Macedonia's first final tournament 🔜. EURO 2020. #SCOCZE final.</v>
      </c>
      <c r="Y21" s="39" t="s">
        <v>17</v>
      </c>
      <c r="AB21" s="5"/>
      <c r="AE21" s="5"/>
      <c r="AH21" s="5"/>
      <c r="AK21" s="5"/>
      <c r="AL21" s="40"/>
      <c r="AM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0)"),0.5)</f>
        <v>0.5</v>
      </c>
      <c r="G22" s="5"/>
      <c r="J22" s="5"/>
      <c r="M22" s="5"/>
      <c r="P22" s="5"/>
      <c r="S22" s="5"/>
      <c r="V22" s="5"/>
      <c r="W22" s="40">
        <f>IFERROR(__xludf.DUMMYFUNCTION("""COMPUTED_VALUE"""),44361.623125)</f>
        <v>44361.62313</v>
      </c>
      <c r="X22" s="5" t="str">
        <f>IFERROR(__xludf.DUMMYFUNCTION("""COMPUTED_VALUE"""),"We should have played the game at Gayfield, Gets in win #sco. Why does Billy Gilmour not play for Scotland, he just be better than some of these that play in the Scottish league. #YESSIRICANBOOGIE. But Scotland can't play football. 🤣🤣🤣🤣🤣. #SCOCZE.")</f>
        <v>We should have played the game at Gayfield, Gets in win #sco. Why does Billy Gilmour not play for Scotland, he just be better than some of these that play in the Scottish league. #YESSIRICANBOOGIE. But Scotland can't play football. 🤣🤣🤣🤣🤣. #SCOCZE.</v>
      </c>
      <c r="Y22" s="5"/>
      <c r="AB22" s="5"/>
      <c r="AE22" s="5"/>
      <c r="AH22" s="5"/>
      <c r="AK22" s="5"/>
      <c r="AL22" s="40"/>
      <c r="AM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10</v>
      </c>
      <c r="D23" s="26">
        <f>IFERROR(__xludf.DUMMYFUNCTION("IF(C23, COUNTIF(FILTER($D$26:$D1007, $A$26:$A1007=A23), TRUE)/C23, 0)"),0.7)</f>
        <v>0.7</v>
      </c>
      <c r="G23" s="5"/>
      <c r="J23" s="5"/>
      <c r="M23" s="5"/>
      <c r="P23" s="5"/>
      <c r="S23" s="5"/>
      <c r="V23" s="5"/>
      <c r="Y23" s="5"/>
      <c r="AB23" s="5"/>
      <c r="AE23" s="5"/>
      <c r="AH23" s="5"/>
      <c r="AK23" s="5"/>
      <c r="AL23" s="40"/>
      <c r="AM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16</v>
      </c>
      <c r="D24" s="26">
        <f>COUNTIF($D$26:$D1007, TRUE)/C24</f>
        <v>0.6875</v>
      </c>
      <c r="G24" s="5"/>
      <c r="J24" s="5"/>
      <c r="M24" s="5"/>
      <c r="P24" s="5"/>
      <c r="S24" s="5"/>
      <c r="V24" s="5"/>
      <c r="Y24" s="5"/>
      <c r="AB24" s="5"/>
      <c r="AE24" s="5"/>
      <c r="AH24" s="5"/>
      <c r="AK24" s="5"/>
      <c r="AL24" s="40"/>
      <c r="AM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G25" s="5"/>
      <c r="J25" s="5"/>
      <c r="M25" s="5"/>
      <c r="P25" s="5"/>
      <c r="S25" s="5"/>
      <c r="V25" s="5"/>
      <c r="Y25" s="5"/>
      <c r="AB25" s="5"/>
      <c r="AE25" s="5"/>
      <c r="AH25" s="5"/>
      <c r="AK25" s="5"/>
      <c r="AL25" s="40"/>
      <c r="AM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0</v>
      </c>
      <c r="G26" s="5"/>
      <c r="J26" s="5"/>
      <c r="M26" s="5"/>
      <c r="P26" s="5"/>
      <c r="S26" s="5"/>
      <c r="V26" s="5"/>
      <c r="Y26" s="5"/>
      <c r="AB26" s="5"/>
      <c r="AE26" s="5"/>
      <c r="AH26" s="5"/>
      <c r="AK26" s="5"/>
      <c r="AL26" s="40"/>
      <c r="AM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47</v>
      </c>
      <c r="B27" s="19" t="s">
        <v>966</v>
      </c>
      <c r="C27" s="21">
        <v>42.0</v>
      </c>
      <c r="D27" s="35" t="b">
        <v>1</v>
      </c>
      <c r="G27" s="5"/>
      <c r="J27" s="5"/>
      <c r="M27" s="5"/>
      <c r="P27" s="5"/>
      <c r="S27" s="5"/>
      <c r="V27" s="5"/>
      <c r="Y27" s="5"/>
      <c r="AB27" s="5"/>
      <c r="AE27" s="5"/>
      <c r="AH27" s="5"/>
      <c r="AK27" s="5"/>
      <c r="AL27" s="40"/>
      <c r="AM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51</v>
      </c>
      <c r="B28" s="19" t="s">
        <v>64</v>
      </c>
      <c r="C28" s="21">
        <v>45.0</v>
      </c>
      <c r="D28" s="35" t="b">
        <v>0</v>
      </c>
      <c r="G28" s="5"/>
      <c r="J28" s="5"/>
      <c r="M28" s="5"/>
      <c r="P28" s="5"/>
      <c r="S28" s="5"/>
      <c r="V28" s="5"/>
      <c r="Y28" s="5"/>
      <c r="AB28" s="5"/>
      <c r="AE28" s="5"/>
      <c r="AH28" s="5"/>
      <c r="AK28" s="5"/>
      <c r="AL28" s="40"/>
      <c r="AM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51</v>
      </c>
      <c r="B29" s="19" t="s">
        <v>65</v>
      </c>
      <c r="C29" s="21">
        <v>46.0</v>
      </c>
      <c r="D29" s="35" t="b">
        <v>1</v>
      </c>
      <c r="G29" s="5"/>
      <c r="J29" s="5"/>
      <c r="M29" s="5"/>
      <c r="P29" s="5"/>
      <c r="S29" s="5"/>
      <c r="V29" s="5"/>
      <c r="Y29" s="5"/>
      <c r="AB29" s="5"/>
      <c r="AE29" s="5"/>
      <c r="AH29" s="5"/>
      <c r="AK29" s="5"/>
      <c r="AL29" s="40"/>
      <c r="AM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53</v>
      </c>
      <c r="B30" s="19" t="s">
        <v>967</v>
      </c>
      <c r="C30" s="21">
        <v>46.0</v>
      </c>
      <c r="D30" s="35" t="b">
        <v>1</v>
      </c>
      <c r="G30" s="5"/>
      <c r="J30" s="5"/>
      <c r="M30" s="5"/>
      <c r="P30" s="5"/>
      <c r="S30" s="5"/>
      <c r="V30" s="5"/>
      <c r="Y30" s="5"/>
      <c r="AB30" s="5"/>
      <c r="AE30" s="5"/>
      <c r="AH30" s="5"/>
      <c r="AK30" s="5"/>
      <c r="AL30" s="40"/>
      <c r="AM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47</v>
      </c>
      <c r="B31" s="42" t="s">
        <v>966</v>
      </c>
      <c r="C31" s="21">
        <v>52.0</v>
      </c>
      <c r="D31" s="35" t="b">
        <v>1</v>
      </c>
      <c r="G31" s="5"/>
      <c r="J31" s="5"/>
      <c r="M31" s="5"/>
      <c r="P31" s="5"/>
      <c r="S31" s="5"/>
      <c r="V31" s="5"/>
      <c r="Y31" s="5"/>
      <c r="AB31" s="5"/>
      <c r="AE31" s="5"/>
      <c r="AH31" s="5"/>
      <c r="AK31" s="5"/>
      <c r="AL31" s="40"/>
      <c r="AM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53</v>
      </c>
      <c r="B32" s="42" t="s">
        <v>968</v>
      </c>
      <c r="C32" s="21">
        <v>67.0</v>
      </c>
      <c r="D32" s="35" t="b">
        <v>0</v>
      </c>
      <c r="G32" s="5"/>
      <c r="J32" s="5"/>
      <c r="M32" s="5"/>
      <c r="P32" s="5"/>
      <c r="S32" s="5"/>
      <c r="V32" s="5"/>
      <c r="Y32" s="5"/>
      <c r="AB32" s="5"/>
      <c r="AE32" s="5"/>
      <c r="AH32" s="5"/>
      <c r="AK32" s="5"/>
      <c r="AL32" s="40"/>
      <c r="AM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53</v>
      </c>
      <c r="B33" s="42" t="s">
        <v>969</v>
      </c>
      <c r="C33" s="21">
        <v>67.0</v>
      </c>
      <c r="D33" s="35" t="b">
        <v>1</v>
      </c>
      <c r="G33" s="5"/>
      <c r="J33" s="5"/>
      <c r="M33" s="5"/>
      <c r="P33" s="5"/>
      <c r="S33" s="5"/>
      <c r="V33" s="5"/>
      <c r="Y33" s="5"/>
      <c r="AB33" s="5"/>
      <c r="AE33" s="5"/>
      <c r="AH33" s="5"/>
      <c r="AK33" s="5"/>
      <c r="AL33" s="40"/>
      <c r="AM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53</v>
      </c>
      <c r="B34" s="46" t="s">
        <v>970</v>
      </c>
      <c r="C34" s="21">
        <v>67.0</v>
      </c>
      <c r="D34" s="35" t="b">
        <v>1</v>
      </c>
      <c r="G34" s="5"/>
      <c r="J34" s="5"/>
      <c r="M34" s="5"/>
      <c r="P34" s="5"/>
      <c r="S34" s="5"/>
      <c r="V34" s="5"/>
      <c r="Y34" s="5"/>
      <c r="AB34" s="5"/>
      <c r="AE34" s="5"/>
      <c r="AH34" s="5"/>
      <c r="AK34" s="5"/>
      <c r="AL34" s="40"/>
      <c r="AM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42" t="s">
        <v>971</v>
      </c>
      <c r="C35" s="21">
        <v>72.0</v>
      </c>
      <c r="D35" s="35" t="b">
        <v>1</v>
      </c>
      <c r="G35" s="5"/>
      <c r="J35" s="5"/>
      <c r="M35" s="5"/>
      <c r="P35" s="5"/>
      <c r="S35" s="5"/>
      <c r="V35" s="5"/>
      <c r="Y35" s="5"/>
      <c r="AB35" s="5"/>
      <c r="AE35" s="5"/>
      <c r="AH35" s="5"/>
      <c r="AK35" s="5"/>
      <c r="AL35" s="40"/>
      <c r="AM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42" t="s">
        <v>972</v>
      </c>
      <c r="C36" s="21">
        <v>72.0</v>
      </c>
      <c r="D36" s="35" t="b">
        <v>1</v>
      </c>
      <c r="G36" s="5"/>
      <c r="J36" s="5"/>
      <c r="M36" s="5"/>
      <c r="P36" s="5"/>
      <c r="S36" s="5"/>
      <c r="V36" s="5"/>
      <c r="Y36" s="5"/>
      <c r="AB36" s="5"/>
      <c r="AE36" s="5"/>
      <c r="AH36" s="5"/>
      <c r="AK36" s="5"/>
      <c r="AL36" s="40"/>
      <c r="AM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53</v>
      </c>
      <c r="B37" s="42" t="s">
        <v>973</v>
      </c>
      <c r="C37" s="21">
        <v>79.0</v>
      </c>
      <c r="D37" s="35" t="b">
        <v>1</v>
      </c>
      <c r="G37" s="5"/>
      <c r="J37" s="5"/>
      <c r="M37" s="5"/>
      <c r="P37" s="5"/>
      <c r="S37" s="5"/>
      <c r="V37" s="5"/>
      <c r="Y37" s="5"/>
      <c r="AB37" s="5"/>
      <c r="AE37" s="5"/>
      <c r="AH37" s="5"/>
      <c r="AK37" s="5"/>
      <c r="AL37" s="40"/>
      <c r="AM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42" t="s">
        <v>974</v>
      </c>
      <c r="C38" s="21">
        <v>79.0</v>
      </c>
      <c r="D38" s="35" t="b">
        <v>1</v>
      </c>
      <c r="G38" s="5"/>
      <c r="J38" s="5"/>
      <c r="M38" s="5"/>
      <c r="P38" s="5"/>
      <c r="S38" s="5"/>
      <c r="V38" s="5"/>
      <c r="Y38" s="5"/>
      <c r="AB38" s="5"/>
      <c r="AE38" s="5"/>
      <c r="AH38" s="5"/>
      <c r="AK38" s="5"/>
      <c r="AL38" s="40"/>
      <c r="AM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53</v>
      </c>
      <c r="B39" s="42" t="s">
        <v>975</v>
      </c>
      <c r="C39" s="21">
        <v>87.0</v>
      </c>
      <c r="D39" s="35" t="b">
        <v>0</v>
      </c>
      <c r="G39" s="5"/>
      <c r="J39" s="5"/>
      <c r="M39" s="5"/>
      <c r="P39" s="5"/>
      <c r="S39" s="5"/>
      <c r="V39" s="5"/>
      <c r="Y39" s="5"/>
      <c r="AB39" s="5"/>
      <c r="AE39" s="5"/>
      <c r="AH39" s="5"/>
      <c r="AK39" s="5"/>
      <c r="AL39" s="40"/>
      <c r="AM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t="s">
        <v>53</v>
      </c>
      <c r="B40" s="42" t="s">
        <v>976</v>
      </c>
      <c r="C40" s="21">
        <v>87.0</v>
      </c>
      <c r="D40" s="35" t="b">
        <v>0</v>
      </c>
      <c r="G40" s="5"/>
      <c r="J40" s="5"/>
      <c r="M40" s="5"/>
      <c r="P40" s="5"/>
      <c r="S40" s="5"/>
      <c r="V40" s="5"/>
      <c r="Y40" s="5"/>
      <c r="AB40" s="5"/>
      <c r="AE40" s="5"/>
      <c r="AH40" s="5"/>
      <c r="AK40" s="5"/>
      <c r="AL40" s="40"/>
      <c r="AM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A41" s="19" t="s">
        <v>51</v>
      </c>
      <c r="B41" s="42" t="s">
        <v>74</v>
      </c>
      <c r="C41" s="21">
        <v>90.0</v>
      </c>
      <c r="D41" s="35" t="b">
        <v>1</v>
      </c>
      <c r="G41" s="5"/>
      <c r="J41" s="5"/>
      <c r="M41" s="5"/>
      <c r="P41" s="5"/>
      <c r="S41" s="5"/>
      <c r="V41" s="5"/>
      <c r="Y41" s="5"/>
      <c r="AB41" s="5"/>
      <c r="AE41" s="5"/>
      <c r="AH41" s="5"/>
      <c r="AK41" s="5"/>
      <c r="AL41" s="40"/>
      <c r="AM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L42" s="40"/>
      <c r="AM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L43" s="40"/>
      <c r="AM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L44" s="40"/>
      <c r="AM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L45" s="40"/>
      <c r="AM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B46" s="36"/>
      <c r="C46" s="26"/>
      <c r="D46" s="19"/>
      <c r="G46" s="5"/>
      <c r="J46" s="5"/>
      <c r="M46" s="5"/>
      <c r="P46" s="5"/>
      <c r="S46" s="5"/>
      <c r="V46" s="5"/>
      <c r="Y46" s="5"/>
      <c r="AB46" s="5"/>
      <c r="AE46" s="5"/>
      <c r="AH46" s="5"/>
      <c r="AK46" s="5"/>
      <c r="AL46" s="40"/>
      <c r="AM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L47" s="40"/>
      <c r="AM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L48" s="40"/>
      <c r="AM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L49" s="40"/>
      <c r="AM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L50" s="40"/>
      <c r="AM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L51" s="40"/>
      <c r="AM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L52" s="40"/>
      <c r="AM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L53" s="40"/>
      <c r="AM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L54" s="40"/>
      <c r="AM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L55" s="40"/>
      <c r="AM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L56" s="40"/>
      <c r="AM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L57" s="40"/>
      <c r="AM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L58" s="40"/>
      <c r="AM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L59" s="40"/>
      <c r="AM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L60" s="40"/>
      <c r="AM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L61" s="40"/>
      <c r="AM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L62" s="40"/>
      <c r="AM62" s="5"/>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L63" s="40"/>
      <c r="AM63" s="5"/>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L64" s="40"/>
      <c r="AM64" s="5"/>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L65" s="40"/>
      <c r="AM65" s="5"/>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L66" s="40"/>
      <c r="AM66" s="5"/>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L67" s="40"/>
      <c r="AM67" s="5"/>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L68" s="40"/>
      <c r="AM68" s="5"/>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L69" s="40"/>
      <c r="AM69" s="5"/>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L70" s="40"/>
      <c r="AM70" s="5"/>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L71" s="40"/>
      <c r="AM71" s="5"/>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L72" s="40"/>
      <c r="AM72" s="5"/>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L73" s="40"/>
      <c r="AM73" s="5"/>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L74" s="40"/>
      <c r="AM74" s="5"/>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L75" s="40"/>
      <c r="AM75" s="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L76" s="40"/>
      <c r="AM76" s="5"/>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L77" s="40"/>
      <c r="AM77" s="5"/>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L78" s="40"/>
      <c r="AM78" s="5"/>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L79" s="40"/>
      <c r="AM79" s="5"/>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L80" s="40"/>
      <c r="AM80" s="5"/>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L81" s="40"/>
      <c r="AM81" s="5"/>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L82" s="40"/>
      <c r="AM82" s="5"/>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L83" s="40"/>
      <c r="AM83" s="5"/>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L84" s="40"/>
      <c r="AM84" s="5"/>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L85" s="40"/>
      <c r="AM85" s="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L86" s="40"/>
      <c r="AM86" s="5"/>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L87" s="40"/>
      <c r="AM87" s="5"/>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L88" s="40"/>
      <c r="AM88" s="5"/>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L89" s="40"/>
      <c r="AM89" s="5"/>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L90" s="40"/>
      <c r="AM90" s="5"/>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L91" s="40"/>
      <c r="AM91" s="5"/>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L92" s="40"/>
      <c r="AM92" s="5"/>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L93" s="40"/>
      <c r="AM93" s="5"/>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L94" s="40"/>
      <c r="AM94" s="5"/>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L95" s="40"/>
      <c r="AM95" s="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L96" s="40"/>
      <c r="AM96" s="5"/>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L97" s="40"/>
      <c r="AM97" s="5"/>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L98" s="40"/>
      <c r="AM98" s="5"/>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L99" s="40"/>
      <c r="AM99" s="5"/>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L100" s="40"/>
      <c r="AM100" s="5"/>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L101" s="40"/>
      <c r="AM101" s="5"/>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L102" s="40"/>
      <c r="AM102" s="5"/>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L103" s="40"/>
      <c r="AM103" s="5"/>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L104" s="40"/>
      <c r="AM104" s="5"/>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L105" s="40"/>
      <c r="AM105" s="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L106" s="40"/>
      <c r="AM106" s="5"/>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L107" s="40"/>
      <c r="AM107" s="5"/>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L108" s="40"/>
      <c r="AM108" s="5"/>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L109" s="40"/>
      <c r="AM109" s="5"/>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L110" s="40"/>
      <c r="AM110" s="5"/>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L111" s="40"/>
      <c r="AM111" s="5"/>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L112" s="40"/>
      <c r="AM112" s="5"/>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L113" s="40"/>
      <c r="AM113" s="5"/>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L114" s="40"/>
      <c r="AM114" s="5"/>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L115" s="40"/>
      <c r="AM115" s="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L116" s="40"/>
      <c r="AM116" s="5"/>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L117" s="40"/>
      <c r="AM117" s="5"/>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L118" s="40"/>
      <c r="AM118" s="5"/>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L119" s="40"/>
      <c r="AM119" s="5"/>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L120" s="40"/>
      <c r="AM120" s="5"/>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L121" s="40"/>
      <c r="AM121" s="5"/>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L122" s="40"/>
      <c r="AM122" s="5"/>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L123" s="40"/>
      <c r="AM123" s="5"/>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L124" s="40"/>
      <c r="AM124" s="5"/>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L125" s="40"/>
      <c r="AM125" s="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L126" s="40"/>
      <c r="AM126" s="5"/>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L127" s="40"/>
      <c r="AM127" s="5"/>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L128" s="40"/>
      <c r="AM128" s="5"/>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L129" s="40"/>
      <c r="AM129" s="5"/>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L130" s="40"/>
      <c r="AM130" s="5"/>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L131" s="40"/>
      <c r="AM131" s="5"/>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L132" s="40"/>
      <c r="AM132" s="5"/>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L133" s="40"/>
      <c r="AM133" s="5"/>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L134" s="40"/>
      <c r="AM134" s="5"/>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L135" s="40"/>
      <c r="AM135" s="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L136" s="40"/>
      <c r="AM136" s="5"/>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L137" s="40"/>
      <c r="AM137" s="5"/>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L138" s="40"/>
      <c r="AM138" s="5"/>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L139" s="40"/>
      <c r="AM139" s="5"/>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L140" s="40"/>
      <c r="AM140" s="5"/>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L141" s="40"/>
      <c r="AM141" s="5"/>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L142" s="40"/>
      <c r="AM142" s="5"/>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L143" s="40"/>
      <c r="AM143" s="5"/>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L144" s="40"/>
      <c r="AM144" s="5"/>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L145" s="40"/>
      <c r="AM145" s="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L146" s="40"/>
      <c r="AM146" s="5"/>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L147" s="40"/>
      <c r="AM147" s="5"/>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L148" s="40"/>
      <c r="AM148" s="5"/>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L149" s="40"/>
      <c r="AM149" s="5"/>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L150" s="40"/>
      <c r="AM150" s="5"/>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L151" s="40"/>
      <c r="AM151" s="5"/>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L152" s="40"/>
      <c r="AM152" s="5"/>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L153" s="40"/>
      <c r="AM153" s="5"/>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L154" s="40"/>
      <c r="AM154" s="5"/>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L155" s="40"/>
      <c r="AM155" s="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L156" s="40"/>
      <c r="AM156" s="5"/>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L157" s="40"/>
      <c r="AM157" s="5"/>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L158" s="40"/>
      <c r="AM158" s="5"/>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L159" s="40"/>
      <c r="AM159" s="5"/>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L160" s="40"/>
      <c r="AM160" s="5"/>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L161" s="40"/>
      <c r="AM161" s="5"/>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L162" s="40"/>
      <c r="AM162" s="5"/>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L163" s="40"/>
      <c r="AM163" s="5"/>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L164" s="40"/>
      <c r="AM164" s="5"/>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L165" s="40"/>
      <c r="AM165" s="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L166" s="40"/>
      <c r="AM166" s="5"/>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L167" s="40"/>
      <c r="AM167" s="5"/>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L168" s="40"/>
      <c r="AM168" s="5"/>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L169" s="40"/>
      <c r="AM169" s="5"/>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L170" s="40"/>
      <c r="AM170" s="5"/>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L171" s="40"/>
      <c r="AM171" s="5"/>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L172" s="40"/>
      <c r="AM172" s="5"/>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L173" s="40"/>
      <c r="AM173" s="5"/>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L174" s="40"/>
      <c r="AM174" s="5"/>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L175" s="40"/>
      <c r="AM175" s="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L176" s="40"/>
      <c r="AM176" s="5"/>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L177" s="40"/>
      <c r="AM177" s="5"/>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L178" s="40"/>
      <c r="AM178" s="5"/>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L179" s="40"/>
      <c r="AM179" s="5"/>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L180" s="40"/>
      <c r="AM180" s="5"/>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L181" s="40"/>
      <c r="AM181" s="5"/>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L182" s="40"/>
      <c r="AM182" s="5"/>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L183" s="40"/>
      <c r="AM183" s="5"/>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L184" s="40"/>
      <c r="AM184" s="5"/>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L185" s="40"/>
      <c r="AM185" s="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L186" s="40"/>
      <c r="AM186" s="5"/>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L187" s="40"/>
      <c r="AM187" s="5"/>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L188" s="40"/>
      <c r="AM188" s="5"/>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L189" s="40"/>
      <c r="AM189" s="5"/>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L190" s="40"/>
      <c r="AM190" s="5"/>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L191" s="40"/>
      <c r="AM191" s="5"/>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L192" s="40"/>
      <c r="AM192" s="5"/>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L193" s="40"/>
      <c r="AM193" s="5"/>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L194" s="40"/>
      <c r="AM194" s="5"/>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L195" s="40"/>
      <c r="AM195" s="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L196" s="40"/>
      <c r="AM196" s="5"/>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L197" s="40"/>
      <c r="AM197" s="5"/>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L198" s="40"/>
      <c r="AM198" s="5"/>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L199" s="40"/>
      <c r="AM199" s="5"/>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L200" s="40"/>
      <c r="AM200" s="5"/>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L201" s="40"/>
      <c r="AM201" s="5"/>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L202" s="40"/>
      <c r="AM202" s="5"/>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L203" s="40"/>
      <c r="AM203" s="5"/>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L204" s="40"/>
      <c r="AM204" s="5"/>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L205" s="40"/>
      <c r="AM205" s="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L206" s="40"/>
      <c r="AM206" s="5"/>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L207" s="40"/>
      <c r="AM207" s="5"/>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L208" s="40"/>
      <c r="AM208" s="5"/>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L209" s="40"/>
      <c r="AM209" s="5"/>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L210" s="40"/>
      <c r="AM210" s="5"/>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L211" s="40"/>
      <c r="AM211" s="5"/>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L212" s="40"/>
      <c r="AM212" s="5"/>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L213" s="40"/>
      <c r="AM213" s="5"/>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L214" s="40"/>
      <c r="AM214" s="5"/>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L215" s="40"/>
      <c r="AM215" s="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L216" s="40"/>
      <c r="AM216" s="5"/>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L217" s="40"/>
      <c r="AM217" s="5"/>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L218" s="40"/>
      <c r="AM218" s="5"/>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L219" s="40"/>
      <c r="AM219" s="5"/>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L220" s="40"/>
      <c r="AM220" s="5"/>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L221" s="40"/>
      <c r="AM221" s="5"/>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L222" s="40"/>
      <c r="AM222" s="5"/>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L223" s="40"/>
      <c r="AM223" s="5"/>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L224" s="40"/>
      <c r="AM224" s="5"/>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L225" s="40"/>
      <c r="AM225" s="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L226" s="40"/>
      <c r="AM226" s="5"/>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L227" s="40"/>
      <c r="AM227" s="5"/>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L228" s="40"/>
      <c r="AM228" s="5"/>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L229" s="40"/>
      <c r="AM229" s="5"/>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L230" s="40"/>
      <c r="AM230" s="5"/>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L231" s="40"/>
      <c r="AM231" s="5"/>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L232" s="40"/>
      <c r="AM232" s="5"/>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L233" s="40"/>
      <c r="AM233" s="5"/>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L234" s="40"/>
      <c r="AM234" s="5"/>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L235" s="40"/>
      <c r="AM235" s="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L236" s="40"/>
      <c r="AM236" s="5"/>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L237" s="40"/>
      <c r="AM237" s="5"/>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L238" s="40"/>
      <c r="AM238" s="5"/>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L239" s="40"/>
      <c r="AM239" s="5"/>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L240" s="40"/>
      <c r="AM240" s="5"/>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L241" s="40"/>
      <c r="AM241" s="5"/>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L242" s="40"/>
      <c r="AM242" s="5"/>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L243" s="40"/>
      <c r="AM243" s="5"/>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L244" s="40"/>
      <c r="AM244" s="5"/>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L245" s="40"/>
      <c r="AM245" s="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L246" s="40"/>
      <c r="AM246" s="5"/>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L247" s="40"/>
      <c r="AM247" s="5"/>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L248" s="40"/>
      <c r="AM248" s="5"/>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L249" s="40"/>
      <c r="AM249" s="5"/>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L250" s="40"/>
      <c r="AM250" s="5"/>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L251" s="40"/>
      <c r="AM251" s="5"/>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L252" s="40"/>
      <c r="AM252" s="5"/>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L253" s="40"/>
      <c r="AM253" s="5"/>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L254" s="40"/>
      <c r="AM254" s="5"/>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L255" s="40"/>
      <c r="AM255" s="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L256" s="40"/>
      <c r="AM256" s="5"/>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L257" s="40"/>
      <c r="AM257" s="5"/>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L258" s="40"/>
      <c r="AM258" s="5"/>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L259" s="40"/>
      <c r="AM259" s="5"/>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L260" s="40"/>
      <c r="AM260" s="5"/>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L261" s="40"/>
      <c r="AM261" s="5"/>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L262" s="40"/>
      <c r="AM262" s="5"/>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L263" s="40"/>
      <c r="AM263" s="5"/>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L264" s="40"/>
      <c r="AM264" s="5"/>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L265" s="40"/>
      <c r="AM265" s="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L266" s="40"/>
      <c r="AM266" s="5"/>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L267" s="40"/>
      <c r="AM267" s="5"/>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L268" s="40"/>
      <c r="AM268" s="5"/>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L269" s="40"/>
      <c r="AM269" s="5"/>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L270" s="40"/>
      <c r="AM270" s="5"/>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L271" s="40"/>
      <c r="AM271" s="5"/>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L272" s="40"/>
      <c r="AM272" s="5"/>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L273" s="40"/>
      <c r="AM273" s="5"/>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L274" s="40"/>
      <c r="AM274" s="5"/>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L275" s="40"/>
      <c r="AM275" s="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L276" s="40"/>
      <c r="AM276" s="5"/>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L277" s="40"/>
      <c r="AM277" s="5"/>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L278" s="40"/>
      <c r="AM278" s="5"/>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L279" s="40"/>
      <c r="AM279" s="5"/>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L280" s="40"/>
      <c r="AM280" s="5"/>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L281" s="40"/>
      <c r="AM281" s="5"/>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L282" s="40"/>
      <c r="AM282" s="5"/>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L283" s="40"/>
      <c r="AM283" s="5"/>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L284" s="40"/>
      <c r="AM284" s="5"/>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L285" s="40"/>
      <c r="AM285" s="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L286" s="40"/>
      <c r="AM286" s="5"/>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L287" s="40"/>
      <c r="AM287" s="5"/>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L288" s="40"/>
      <c r="AM288" s="5"/>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L289" s="40"/>
      <c r="AM289" s="5"/>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L290" s="40"/>
      <c r="AM290" s="5"/>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L291" s="40"/>
      <c r="AM291" s="5"/>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L292" s="40"/>
      <c r="AM292" s="5"/>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L293" s="40"/>
      <c r="AM293" s="5"/>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L294" s="40"/>
      <c r="AM294" s="5"/>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L295" s="40"/>
      <c r="AM295" s="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L296" s="40"/>
      <c r="AM296" s="5"/>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L297" s="40"/>
      <c r="AM297" s="5"/>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L298" s="40"/>
      <c r="AM298" s="5"/>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L299" s="40"/>
      <c r="AM299" s="5"/>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L300" s="40"/>
      <c r="AM300" s="5"/>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L301" s="40"/>
      <c r="AM301" s="5"/>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L302" s="40"/>
      <c r="AM302" s="5"/>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L303" s="40"/>
      <c r="AM303" s="5"/>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L304" s="40"/>
      <c r="AM304" s="5"/>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L305" s="40"/>
      <c r="AM305" s="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L306" s="40"/>
      <c r="AM306" s="5"/>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L307" s="40"/>
      <c r="AM307" s="5"/>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L308" s="40"/>
      <c r="AM308" s="5"/>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L309" s="40"/>
      <c r="AM309" s="5"/>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L310" s="40"/>
      <c r="AM310" s="5"/>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L311" s="40"/>
      <c r="AM311" s="5"/>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L312" s="40"/>
      <c r="AM312" s="5"/>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L313" s="40"/>
      <c r="AM313" s="5"/>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L314" s="40"/>
      <c r="AM314" s="5"/>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L315" s="40"/>
      <c r="AM315" s="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L316" s="40"/>
      <c r="AM316" s="5"/>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L317" s="40"/>
      <c r="AM317" s="5"/>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L318" s="40"/>
      <c r="AM318" s="5"/>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L319" s="40"/>
      <c r="AM319" s="5"/>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L320" s="40"/>
      <c r="AM320" s="5"/>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L321" s="40"/>
      <c r="AM321" s="5"/>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L322" s="40"/>
      <c r="AM322" s="5"/>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L323" s="40"/>
      <c r="AM323" s="5"/>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L324" s="40"/>
      <c r="AM324" s="5"/>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L325" s="40"/>
      <c r="AM325" s="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L326" s="40"/>
      <c r="AM326" s="5"/>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L327" s="40"/>
      <c r="AM327" s="5"/>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L328" s="40"/>
      <c r="AM328" s="5"/>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L329" s="40"/>
      <c r="AM329" s="5"/>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L330" s="40"/>
      <c r="AM330" s="5"/>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L331" s="40"/>
      <c r="AM331" s="5"/>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L332" s="40"/>
      <c r="AM332" s="5"/>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L333" s="40"/>
      <c r="AM333" s="5"/>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L334" s="40"/>
      <c r="AM334" s="5"/>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L335" s="40"/>
      <c r="AM335" s="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L336" s="40"/>
      <c r="AM336" s="5"/>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L337" s="40"/>
      <c r="AM337" s="5"/>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L338" s="40"/>
      <c r="AM338" s="5"/>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L339" s="40"/>
      <c r="AM339" s="5"/>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L340" s="40"/>
      <c r="AM340" s="5"/>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L341" s="40"/>
      <c r="AM341" s="5"/>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L342" s="40"/>
      <c r="AM342" s="5"/>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L343" s="40"/>
      <c r="AM343" s="5"/>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L344" s="40"/>
      <c r="AM344" s="5"/>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L345" s="40"/>
      <c r="AM345" s="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L346" s="40"/>
      <c r="AM346" s="5"/>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L347" s="40"/>
      <c r="AM347" s="5"/>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L348" s="40"/>
      <c r="AM348" s="5"/>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L349" s="40"/>
      <c r="AM349" s="5"/>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L350" s="40"/>
      <c r="AM350" s="5"/>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L351" s="40"/>
      <c r="AM351" s="5"/>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L352" s="40"/>
      <c r="AM352" s="5"/>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L353" s="40"/>
      <c r="AM353" s="5"/>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L354" s="40"/>
      <c r="AM354" s="5"/>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L355" s="40"/>
      <c r="AM355" s="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L356" s="40"/>
      <c r="AM356" s="5"/>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L357" s="40"/>
      <c r="AM357" s="5"/>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L358" s="40"/>
      <c r="AM358" s="5"/>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L359" s="40"/>
      <c r="AM359" s="5"/>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L360" s="40"/>
      <c r="AM360" s="5"/>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L361" s="40"/>
      <c r="AM361" s="5"/>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L362" s="40"/>
      <c r="AM362" s="5"/>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L363" s="40"/>
      <c r="AM363" s="5"/>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L364" s="40"/>
      <c r="AM364" s="5"/>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L365" s="40"/>
      <c r="AM365" s="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L366" s="40"/>
      <c r="AM366" s="5"/>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L367" s="40"/>
      <c r="AM367" s="5"/>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L368" s="40"/>
      <c r="AM368" s="5"/>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L369" s="40"/>
      <c r="AM369" s="5"/>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L370" s="40"/>
      <c r="AM370" s="5"/>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L371" s="40"/>
      <c r="AM371" s="5"/>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L372" s="40"/>
      <c r="AM372" s="5"/>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L373" s="40"/>
      <c r="AM373" s="5"/>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L374" s="40"/>
      <c r="AM374" s="5"/>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L375" s="40"/>
      <c r="AM375" s="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L376" s="40"/>
      <c r="AM376" s="5"/>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L377" s="40"/>
      <c r="AM377" s="5"/>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L378" s="40"/>
      <c r="AM378" s="5"/>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L379" s="40"/>
      <c r="AM379" s="5"/>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L380" s="40"/>
      <c r="AM380" s="5"/>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L381" s="40"/>
      <c r="AM381" s="5"/>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L382" s="40"/>
      <c r="AM382" s="5"/>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L383" s="40"/>
      <c r="AM383" s="5"/>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L384" s="40"/>
      <c r="AM384" s="5"/>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L385" s="40"/>
      <c r="AM385" s="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L386" s="40"/>
      <c r="AM386" s="5"/>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L387" s="40"/>
      <c r="AM387" s="5"/>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L388" s="40"/>
      <c r="AM388" s="5"/>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L389" s="40"/>
      <c r="AM389" s="5"/>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L390" s="40"/>
      <c r="AM390" s="5"/>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L391" s="40"/>
      <c r="AM391" s="5"/>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L392" s="40"/>
      <c r="AM392" s="5"/>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L393" s="40"/>
      <c r="AM393" s="5"/>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L394" s="40"/>
      <c r="AM394" s="5"/>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L395" s="40"/>
      <c r="AM395" s="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L396" s="40"/>
      <c r="AM396" s="5"/>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L397" s="40"/>
      <c r="AM397" s="5"/>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L398" s="40"/>
      <c r="AM398" s="5"/>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L399" s="40"/>
      <c r="AM399" s="5"/>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L400" s="40"/>
      <c r="AM400" s="5"/>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L401" s="40"/>
      <c r="AM401" s="5"/>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L402" s="40"/>
      <c r="AM402" s="5"/>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L403" s="40"/>
      <c r="AM403" s="5"/>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L404" s="40"/>
      <c r="AM404" s="5"/>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L405" s="40"/>
      <c r="AM405" s="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L406" s="40"/>
      <c r="AM406" s="5"/>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L407" s="40"/>
      <c r="AM407" s="5"/>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L408" s="40"/>
      <c r="AM408" s="5"/>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L409" s="40"/>
      <c r="AM409" s="5"/>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L410" s="40"/>
      <c r="AM410" s="5"/>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L411" s="40"/>
      <c r="AM411" s="5"/>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L412" s="40"/>
      <c r="AM412" s="5"/>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L413" s="40"/>
      <c r="AM413" s="5"/>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L414" s="40"/>
      <c r="AM414" s="5"/>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L415" s="40"/>
      <c r="AM415" s="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L416" s="40"/>
      <c r="AM416" s="5"/>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L417" s="40"/>
      <c r="AM417" s="5"/>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L418" s="40"/>
      <c r="AM418" s="5"/>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L419" s="40"/>
      <c r="AM419" s="5"/>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L420" s="40"/>
      <c r="AM420" s="5"/>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L421" s="40"/>
      <c r="AM421" s="5"/>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L422" s="40"/>
      <c r="AM422" s="5"/>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L423" s="40"/>
      <c r="AM423" s="5"/>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L424" s="40"/>
      <c r="AM424" s="5"/>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L425" s="40"/>
      <c r="AM425" s="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L426" s="40"/>
      <c r="AM426" s="5"/>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L427" s="40"/>
      <c r="AM427" s="5"/>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L428" s="40"/>
      <c r="AM428" s="5"/>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L429" s="40"/>
      <c r="AM429" s="5"/>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L430" s="40"/>
      <c r="AM430" s="5"/>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L431" s="40"/>
      <c r="AM431" s="5"/>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L432" s="40"/>
      <c r="AM432" s="5"/>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L433" s="40"/>
      <c r="AM433" s="5"/>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L434" s="40"/>
      <c r="AM434" s="5"/>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L435" s="40"/>
      <c r="AM435" s="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L436" s="40"/>
      <c r="AM436" s="5"/>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L437" s="40"/>
      <c r="AM437" s="5"/>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L438" s="40"/>
      <c r="AM438" s="5"/>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L439" s="40"/>
      <c r="AM439" s="5"/>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L440" s="40"/>
      <c r="AM440" s="5"/>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L441" s="40"/>
      <c r="AM441" s="5"/>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L442" s="40"/>
      <c r="AM442" s="5"/>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L443" s="40"/>
      <c r="AM443" s="5"/>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L444" s="40"/>
      <c r="AM444" s="5"/>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L445" s="40"/>
      <c r="AM445" s="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L446" s="40"/>
      <c r="AM446" s="5"/>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L447" s="40"/>
      <c r="AM447" s="5"/>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L448" s="40"/>
      <c r="AM448" s="5"/>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L449" s="40"/>
      <c r="AM449" s="5"/>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L450" s="40"/>
      <c r="AM450" s="5"/>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L451" s="40"/>
      <c r="AM451" s="5"/>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L452" s="40"/>
      <c r="AM452" s="5"/>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L453" s="40"/>
      <c r="AM453" s="5"/>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L454" s="40"/>
      <c r="AM454" s="5"/>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L455" s="40"/>
      <c r="AM455" s="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L456" s="40"/>
      <c r="AM456" s="5"/>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L457" s="40"/>
      <c r="AM457" s="5"/>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L458" s="40"/>
      <c r="AM458" s="5"/>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L459" s="40"/>
      <c r="AM459" s="5"/>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L460" s="40"/>
      <c r="AM460" s="5"/>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L461" s="40"/>
      <c r="AM461" s="5"/>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L462" s="40"/>
      <c r="AM462" s="5"/>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L463" s="40"/>
      <c r="AM463" s="5"/>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L464" s="40"/>
      <c r="AM464" s="5"/>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L465" s="40"/>
      <c r="AM465" s="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L466" s="40"/>
      <c r="AM466" s="5"/>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L467" s="40"/>
      <c r="AM467" s="5"/>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L468" s="40"/>
      <c r="AM468" s="5"/>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L469" s="40"/>
      <c r="AM469" s="5"/>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L470" s="40"/>
      <c r="AM470" s="5"/>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L471" s="40"/>
      <c r="AM471" s="5"/>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L472" s="40"/>
      <c r="AM472" s="5"/>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L473" s="40"/>
      <c r="AM473" s="5"/>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L474" s="40"/>
      <c r="AM474" s="5"/>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L475" s="40"/>
      <c r="AM475" s="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L476" s="40"/>
      <c r="AM476" s="5"/>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L477" s="40"/>
      <c r="AM477" s="5"/>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L478" s="40"/>
      <c r="AM478" s="5"/>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L479" s="40"/>
      <c r="AM479" s="5"/>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L480" s="40"/>
      <c r="AM480" s="5"/>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L481" s="40"/>
      <c r="AM481" s="5"/>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L482" s="40"/>
      <c r="AM482" s="5"/>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L483" s="40"/>
      <c r="AM483" s="5"/>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L484" s="40"/>
      <c r="AM484" s="5"/>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L485" s="40"/>
      <c r="AM485" s="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L486" s="40"/>
      <c r="AM486" s="5"/>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L487" s="40"/>
      <c r="AM487" s="5"/>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L488" s="40"/>
      <c r="AM488" s="5"/>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L489" s="40"/>
      <c r="AM489" s="5"/>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L490" s="40"/>
      <c r="AM490" s="5"/>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L491" s="40"/>
      <c r="AM491" s="5"/>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L492" s="40"/>
      <c r="AM492" s="5"/>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L493" s="40"/>
      <c r="AM493" s="5"/>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L494" s="40"/>
      <c r="AM494" s="5"/>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L495" s="40"/>
      <c r="AM495" s="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L496" s="40"/>
      <c r="AM496" s="5"/>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L497" s="40"/>
      <c r="AM497" s="5"/>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L498" s="40"/>
      <c r="AM498" s="5"/>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L499" s="40"/>
      <c r="AM499" s="5"/>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L500" s="40"/>
      <c r="AM500" s="5"/>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L501" s="40"/>
      <c r="AM501" s="5"/>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L502" s="40"/>
      <c r="AM502" s="5"/>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L503" s="40"/>
      <c r="AM503" s="5"/>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L504" s="40"/>
      <c r="AM504" s="5"/>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L505" s="40"/>
      <c r="AM505" s="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L506" s="40"/>
      <c r="AM506" s="5"/>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L507" s="40"/>
      <c r="AM507" s="5"/>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L508" s="40"/>
      <c r="AM508" s="5"/>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L509" s="40"/>
      <c r="AM509" s="5"/>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L510" s="40"/>
      <c r="AM510" s="5"/>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L511" s="40"/>
      <c r="AM511" s="5"/>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L512" s="40"/>
      <c r="AM512" s="5"/>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L513" s="40"/>
      <c r="AM513" s="5"/>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L514" s="40"/>
      <c r="AM514" s="5"/>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L515" s="40"/>
      <c r="AM515" s="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L516" s="40"/>
      <c r="AM516" s="5"/>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L517" s="40"/>
      <c r="AM517" s="5"/>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L518" s="40"/>
      <c r="AM518" s="5"/>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L519" s="40"/>
      <c r="AM519" s="5"/>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L520" s="40"/>
      <c r="AM520" s="5"/>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L521" s="40"/>
      <c r="AM521" s="5"/>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L522" s="40"/>
      <c r="AM522" s="5"/>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L523" s="40"/>
      <c r="AM523" s="5"/>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L524" s="40"/>
      <c r="AM524" s="5"/>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L525" s="40"/>
      <c r="AM525" s="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L526" s="40"/>
      <c r="AM526" s="5"/>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L527" s="40"/>
      <c r="AM527" s="5"/>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L528" s="40"/>
      <c r="AM528" s="5"/>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L529" s="40"/>
      <c r="AM529" s="5"/>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L530" s="40"/>
      <c r="AM530" s="5"/>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L531" s="40"/>
      <c r="AM531" s="5"/>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L532" s="40"/>
      <c r="AM532" s="5"/>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L533" s="40"/>
      <c r="AM533" s="5"/>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L534" s="40"/>
      <c r="AM534" s="5"/>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L535" s="40"/>
      <c r="AM535" s="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L536" s="40"/>
      <c r="AM536" s="5"/>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L537" s="40"/>
      <c r="AM537" s="5"/>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L538" s="40"/>
      <c r="AM538" s="5"/>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L539" s="40"/>
      <c r="AM539" s="5"/>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L540" s="40"/>
      <c r="AM540" s="5"/>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L541" s="40"/>
      <c r="AM541" s="5"/>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L542" s="40"/>
      <c r="AM542" s="5"/>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L543" s="40"/>
      <c r="AM543" s="5"/>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L544" s="40"/>
      <c r="AM544" s="5"/>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L545" s="40"/>
      <c r="AM545" s="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L546" s="40"/>
      <c r="AM546" s="5"/>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L547" s="40"/>
      <c r="AM547" s="5"/>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L548" s="40"/>
      <c r="AM548" s="5"/>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L549" s="40"/>
      <c r="AM549" s="5"/>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L550" s="40"/>
      <c r="AM550" s="5"/>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L551" s="40"/>
      <c r="AM551" s="5"/>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L552" s="40"/>
      <c r="AM552" s="5"/>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L553" s="40"/>
      <c r="AM553" s="5"/>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L554" s="40"/>
      <c r="AM554" s="5"/>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L555" s="40"/>
      <c r="AM555" s="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L556" s="40"/>
      <c r="AM556" s="5"/>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L557" s="40"/>
      <c r="AM557" s="5"/>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L558" s="40"/>
      <c r="AM558" s="5"/>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L559" s="40"/>
      <c r="AM559" s="5"/>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L560" s="40"/>
      <c r="AM560" s="5"/>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L561" s="40"/>
      <c r="AM561" s="5"/>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L562" s="40"/>
      <c r="AM562" s="5"/>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L563" s="40"/>
      <c r="AM563" s="5"/>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L564" s="40"/>
      <c r="AM564" s="5"/>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L565" s="40"/>
      <c r="AM565" s="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L566" s="40"/>
      <c r="AM566" s="5"/>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L567" s="40"/>
      <c r="AM567" s="5"/>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L568" s="40"/>
      <c r="AM568" s="5"/>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L569" s="40"/>
      <c r="AM569" s="5"/>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L570" s="40"/>
      <c r="AM570" s="5"/>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L571" s="40"/>
      <c r="AM571" s="5"/>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L572" s="40"/>
      <c r="AM572" s="5"/>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L573" s="40"/>
      <c r="AM573" s="5"/>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L574" s="40"/>
      <c r="AM574" s="5"/>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L575" s="40"/>
      <c r="AM575" s="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L576" s="40"/>
      <c r="AM576" s="5"/>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L577" s="40"/>
      <c r="AM577" s="5"/>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L578" s="40"/>
      <c r="AM578" s="5"/>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L579" s="40"/>
      <c r="AM579" s="5"/>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L580" s="40"/>
      <c r="AM580" s="5"/>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L581" s="40"/>
      <c r="AM581" s="5"/>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L582" s="40"/>
      <c r="AM582" s="5"/>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L583" s="40"/>
      <c r="AM583" s="5"/>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L584" s="40"/>
      <c r="AM584" s="5"/>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L585" s="40"/>
      <c r="AM585" s="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L586" s="40"/>
      <c r="AM586" s="5"/>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L587" s="40"/>
      <c r="AM587" s="5"/>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L588" s="40"/>
      <c r="AM588" s="5"/>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L589" s="40"/>
      <c r="AM589" s="5"/>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L590" s="40"/>
      <c r="AM590" s="5"/>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L591" s="40"/>
      <c r="AM591" s="5"/>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L592" s="40"/>
      <c r="AM592" s="5"/>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L593" s="40"/>
      <c r="AM593" s="5"/>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L594" s="40"/>
      <c r="AM594" s="5"/>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L595" s="40"/>
      <c r="AM595" s="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L596" s="40"/>
      <c r="AM596" s="5"/>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L597" s="40"/>
      <c r="AM597" s="5"/>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L598" s="40"/>
      <c r="AM598" s="5"/>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L599" s="40"/>
      <c r="AM599" s="5"/>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L600" s="40"/>
      <c r="AM600" s="5"/>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L601" s="40"/>
      <c r="AM601" s="5"/>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L602" s="40"/>
      <c r="AM602" s="5"/>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L603" s="40"/>
      <c r="AM603" s="5"/>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L604" s="40"/>
      <c r="AM604" s="5"/>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L605" s="40"/>
      <c r="AM605" s="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L606" s="40"/>
      <c r="AM606" s="5"/>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L607" s="40"/>
      <c r="AM607" s="5"/>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L608" s="40"/>
      <c r="AM608" s="5"/>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L609" s="40"/>
      <c r="AM609" s="5"/>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L610" s="40"/>
      <c r="AM610" s="5"/>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L611" s="40"/>
      <c r="AM611" s="5"/>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L612" s="40"/>
      <c r="AM612" s="5"/>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L613" s="40"/>
      <c r="AM613" s="5"/>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L614" s="40"/>
      <c r="AM614" s="5"/>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L615" s="40"/>
      <c r="AM615" s="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L616" s="40"/>
      <c r="AM616" s="5"/>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L617" s="40"/>
      <c r="AM617" s="5"/>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L618" s="40"/>
      <c r="AM618" s="5"/>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L619" s="40"/>
      <c r="AM619" s="5"/>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L620" s="40"/>
      <c r="AM620" s="5"/>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L621" s="40"/>
      <c r="AM621" s="5"/>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L622" s="40"/>
      <c r="AM622" s="5"/>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L623" s="40"/>
      <c r="AM623" s="5"/>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L624" s="40"/>
      <c r="AM624" s="5"/>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L625" s="40"/>
      <c r="AM625" s="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L626" s="40"/>
      <c r="AM626" s="5"/>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L627" s="40"/>
      <c r="AM627" s="5"/>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L628" s="40"/>
      <c r="AM628" s="5"/>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L629" s="40"/>
      <c r="AM629" s="5"/>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L630" s="40"/>
      <c r="AM630" s="5"/>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L631" s="40"/>
      <c r="AM631" s="5"/>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L632" s="40"/>
      <c r="AM632" s="5"/>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L633" s="40"/>
      <c r="AM633" s="5"/>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L634" s="40"/>
      <c r="AM634" s="5"/>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L635" s="40"/>
      <c r="AM635" s="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L636" s="40"/>
      <c r="AM636" s="5"/>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L637" s="40"/>
      <c r="AM637" s="5"/>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L638" s="40"/>
      <c r="AM638" s="5"/>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L639" s="40"/>
      <c r="AM639" s="5"/>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L640" s="40"/>
      <c r="AM640" s="5"/>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L641" s="40"/>
      <c r="AM641" s="5"/>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L642" s="40"/>
      <c r="AM642" s="5"/>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L643" s="40"/>
      <c r="AM643" s="5"/>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L644" s="40"/>
      <c r="AM644" s="5"/>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L645" s="40"/>
      <c r="AM645" s="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L646" s="40"/>
      <c r="AM646" s="5"/>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L647" s="40"/>
      <c r="AM647" s="5"/>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L648" s="40"/>
      <c r="AM648" s="5"/>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L649" s="40"/>
      <c r="AM649" s="5"/>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L650" s="40"/>
      <c r="AM650" s="5"/>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L651" s="40"/>
      <c r="AM651" s="5"/>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L652" s="40"/>
      <c r="AM652" s="5"/>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L653" s="40"/>
      <c r="AM653" s="5"/>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L654" s="40"/>
      <c r="AM654" s="5"/>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L655" s="40"/>
      <c r="AM655" s="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L656" s="40"/>
      <c r="AM656" s="5"/>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L657" s="40"/>
      <c r="AM657" s="5"/>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L658" s="40"/>
      <c r="AM658" s="5"/>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L659" s="40"/>
      <c r="AM659" s="5"/>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L660" s="40"/>
      <c r="AM660" s="5"/>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L661" s="40"/>
      <c r="AM661" s="5"/>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L662" s="40"/>
      <c r="AM662" s="5"/>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L663" s="40"/>
      <c r="AM663" s="5"/>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L664" s="40"/>
      <c r="AM664" s="5"/>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L665" s="40"/>
      <c r="AM665" s="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L666" s="40"/>
      <c r="AM666" s="5"/>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L667" s="40"/>
      <c r="AM667" s="5"/>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L668" s="40"/>
      <c r="AM668" s="5"/>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L669" s="40"/>
      <c r="AM669" s="5"/>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L670" s="40"/>
      <c r="AM670" s="5"/>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L671" s="40"/>
      <c r="AM671" s="5"/>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L672" s="40"/>
      <c r="AM672" s="5"/>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L673" s="40"/>
      <c r="AM673" s="5"/>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L674" s="40"/>
      <c r="AM674" s="5"/>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L675" s="40"/>
      <c r="AM675" s="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L676" s="40"/>
      <c r="AM676" s="5"/>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L677" s="40"/>
      <c r="AM677" s="5"/>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L678" s="40"/>
      <c r="AM678" s="5"/>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L679" s="40"/>
      <c r="AM679" s="5"/>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L680" s="40"/>
      <c r="AM680" s="5"/>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L681" s="40"/>
      <c r="AM681" s="5"/>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L682" s="40"/>
      <c r="AM682" s="5"/>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L683" s="40"/>
      <c r="AM683" s="5"/>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L684" s="40"/>
      <c r="AM684" s="5"/>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L685" s="40"/>
      <c r="AM685" s="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L686" s="40"/>
      <c r="AM686" s="5"/>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L687" s="40"/>
      <c r="AM687" s="5"/>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L688" s="40"/>
      <c r="AM688" s="5"/>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L689" s="40"/>
      <c r="AM689" s="5"/>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L690" s="40"/>
      <c r="AM690" s="5"/>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L691" s="40"/>
      <c r="AM691" s="5"/>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L692" s="40"/>
      <c r="AM692" s="5"/>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L693" s="40"/>
      <c r="AM693" s="5"/>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L694" s="40"/>
      <c r="AM694" s="5"/>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L695" s="40"/>
      <c r="AM695" s="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L696" s="40"/>
      <c r="AM696" s="5"/>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L697" s="40"/>
      <c r="AM697" s="5"/>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L698" s="40"/>
      <c r="AM698" s="5"/>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L699" s="40"/>
      <c r="AM699" s="5"/>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L700" s="40"/>
      <c r="AM700" s="5"/>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L701" s="40"/>
      <c r="AM701" s="5"/>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L702" s="40"/>
      <c r="AM702" s="5"/>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L703" s="40"/>
      <c r="AM703" s="5"/>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L704" s="40"/>
      <c r="AM704" s="5"/>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L705" s="40"/>
      <c r="AM705" s="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L706" s="40"/>
      <c r="AM706" s="5"/>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L707" s="40"/>
      <c r="AM707" s="5"/>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L708" s="40"/>
      <c r="AM708" s="5"/>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L709" s="40"/>
      <c r="AM709" s="5"/>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L710" s="40"/>
      <c r="AM710" s="5"/>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L711" s="40"/>
      <c r="AM711" s="5"/>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L712" s="40"/>
      <c r="AM712" s="5"/>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L713" s="40"/>
      <c r="AM713" s="5"/>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L714" s="40"/>
      <c r="AM714" s="5"/>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L715" s="40"/>
      <c r="AM715" s="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L716" s="40"/>
      <c r="AM716" s="5"/>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L717" s="40"/>
      <c r="AM717" s="5"/>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L718" s="40"/>
      <c r="AM718" s="5"/>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L719" s="40"/>
      <c r="AM719" s="5"/>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L720" s="40"/>
      <c r="AM720" s="5"/>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L721" s="40"/>
      <c r="AM721" s="5"/>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L722" s="40"/>
      <c r="AM722" s="5"/>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L723" s="40"/>
      <c r="AM723" s="5"/>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L724" s="40"/>
      <c r="AM724" s="5"/>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L725" s="40"/>
      <c r="AM725" s="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L726" s="40"/>
      <c r="AM726" s="5"/>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L727" s="40"/>
      <c r="AM727" s="5"/>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L728" s="40"/>
      <c r="AM728" s="5"/>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L729" s="40"/>
      <c r="AM729" s="5"/>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L730" s="40"/>
      <c r="AM730" s="5"/>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L731" s="40"/>
      <c r="AM731" s="5"/>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L732" s="40"/>
      <c r="AM732" s="5"/>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L733" s="40"/>
      <c r="AM733" s="5"/>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L734" s="40"/>
      <c r="AM734" s="5"/>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L735" s="40"/>
      <c r="AM735" s="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L736" s="40"/>
      <c r="AM736" s="5"/>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L737" s="40"/>
      <c r="AM737" s="5"/>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L738" s="40"/>
      <c r="AM738" s="5"/>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L739" s="40"/>
      <c r="AM739" s="5"/>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L740" s="40"/>
      <c r="AM740" s="5"/>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L741" s="40"/>
      <c r="AM741" s="5"/>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L742" s="40"/>
      <c r="AM742" s="5"/>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L743" s="40"/>
      <c r="AM743" s="5"/>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L744" s="40"/>
      <c r="AM744" s="5"/>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L745" s="40"/>
      <c r="AM745" s="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L746" s="40"/>
      <c r="AM746" s="5"/>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L747" s="40"/>
      <c r="AM747" s="5"/>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L748" s="40"/>
      <c r="AM748" s="5"/>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L749" s="40"/>
      <c r="AM749" s="5"/>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L750" s="40"/>
      <c r="AM750" s="5"/>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L751" s="40"/>
      <c r="AM751" s="5"/>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L752" s="40"/>
      <c r="AM752" s="5"/>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L753" s="40"/>
      <c r="AM753" s="5"/>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L754" s="40"/>
      <c r="AM754" s="5"/>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L755" s="40"/>
      <c r="AM755" s="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L756" s="40"/>
      <c r="AM756" s="5"/>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L757" s="40"/>
      <c r="AM757" s="5"/>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L758" s="40"/>
      <c r="AM758" s="5"/>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L759" s="40"/>
      <c r="AM759" s="5"/>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L760" s="40"/>
      <c r="AM760" s="5"/>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L761" s="40"/>
      <c r="AM761" s="5"/>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L762" s="40"/>
      <c r="AM762" s="5"/>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L763" s="40"/>
      <c r="AM763" s="5"/>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L764" s="40"/>
      <c r="AM764" s="5"/>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L765" s="40"/>
      <c r="AM765" s="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L766" s="40"/>
      <c r="AM766" s="5"/>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L767" s="40"/>
      <c r="AM767" s="5"/>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L768" s="40"/>
      <c r="AM768" s="5"/>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L769" s="40"/>
      <c r="AM769" s="5"/>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L770" s="40"/>
      <c r="AM770" s="5"/>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L771" s="40"/>
      <c r="AM771" s="5"/>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L772" s="40"/>
      <c r="AM772" s="5"/>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L773" s="40"/>
      <c r="AM773" s="5"/>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L774" s="40"/>
      <c r="AM774" s="5"/>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L775" s="40"/>
      <c r="AM775" s="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L776" s="40"/>
      <c r="AM776" s="5"/>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L777" s="40"/>
      <c r="AM777" s="5"/>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L778" s="40"/>
      <c r="AM778" s="5"/>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L779" s="40"/>
      <c r="AM779" s="5"/>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L780" s="40"/>
      <c r="AM780" s="5"/>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L781" s="40"/>
      <c r="AM781" s="5"/>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L782" s="40"/>
      <c r="AM782" s="5"/>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L783" s="40"/>
      <c r="AM783" s="5"/>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L784" s="40"/>
      <c r="AM784" s="5"/>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L785" s="40"/>
      <c r="AM785" s="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L786" s="40"/>
      <c r="AM786" s="5"/>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L787" s="40"/>
      <c r="AM787" s="5"/>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L788" s="40"/>
      <c r="AM788" s="5"/>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L789" s="40"/>
      <c r="AM789" s="5"/>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L790" s="40"/>
      <c r="AM790" s="5"/>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L791" s="40"/>
      <c r="AM791" s="5"/>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L792" s="40"/>
      <c r="AM792" s="5"/>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L793" s="40"/>
      <c r="AM793" s="5"/>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L794" s="40"/>
      <c r="AM794" s="5"/>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L795" s="40"/>
      <c r="AM795" s="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L796" s="40"/>
      <c r="AM796" s="5"/>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L797" s="40"/>
      <c r="AM797" s="5"/>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L798" s="40"/>
      <c r="AM798" s="5"/>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L799" s="40"/>
      <c r="AM799" s="5"/>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L800" s="40"/>
      <c r="AM800" s="5"/>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L801" s="40"/>
      <c r="AM801" s="5"/>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L802" s="40"/>
      <c r="AM802" s="5"/>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L803" s="40"/>
      <c r="AM803" s="5"/>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L804" s="40"/>
      <c r="AM804" s="5"/>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L805" s="40"/>
      <c r="AM805" s="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L806" s="40"/>
      <c r="AM806" s="5"/>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L807" s="40"/>
      <c r="AM807" s="5"/>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L808" s="40"/>
      <c r="AM808" s="5"/>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L809" s="40"/>
      <c r="AM809" s="5"/>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L810" s="40"/>
      <c r="AM810" s="5"/>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L811" s="40"/>
      <c r="AM811" s="5"/>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L812" s="40"/>
      <c r="AM812" s="5"/>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L813" s="40"/>
      <c r="AM813" s="5"/>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L814" s="40"/>
      <c r="AM814" s="5"/>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L815" s="40"/>
      <c r="AM815" s="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L816" s="40"/>
      <c r="AM816" s="5"/>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L817" s="40"/>
      <c r="AM817" s="5"/>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L818" s="40"/>
      <c r="AM818" s="5"/>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L819" s="40"/>
      <c r="AM819" s="5"/>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L820" s="40"/>
      <c r="AM820" s="5"/>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L821" s="40"/>
      <c r="AM821" s="5"/>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L822" s="40"/>
      <c r="AM822" s="5"/>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L823" s="40"/>
      <c r="AM823" s="5"/>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L824" s="40"/>
      <c r="AM824" s="5"/>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L825" s="40"/>
      <c r="AM825" s="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L826" s="40"/>
      <c r="AM826" s="5"/>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L827" s="40"/>
      <c r="AM827" s="5"/>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L828" s="40"/>
      <c r="AM828" s="5"/>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L829" s="40"/>
      <c r="AM829" s="5"/>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L830" s="40"/>
      <c r="AM830" s="5"/>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L831" s="40"/>
      <c r="AM831" s="5"/>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L832" s="40"/>
      <c r="AM832" s="5"/>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L833" s="40"/>
      <c r="AM833" s="5"/>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L834" s="40"/>
      <c r="AM834" s="5"/>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L835" s="40"/>
      <c r="AM835" s="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L836" s="40"/>
      <c r="AM836" s="5"/>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L837" s="40"/>
      <c r="AM837" s="5"/>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L838" s="40"/>
      <c r="AM838" s="5"/>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L839" s="40"/>
      <c r="AM839" s="5"/>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L840" s="40"/>
      <c r="AM840" s="5"/>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L841" s="40"/>
      <c r="AM841" s="5"/>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L842" s="40"/>
      <c r="AM842" s="5"/>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L843" s="40"/>
      <c r="AM843" s="5"/>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L844" s="40"/>
      <c r="AM844" s="5"/>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L845" s="40"/>
      <c r="AM845" s="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L846" s="40"/>
      <c r="AM846" s="5"/>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L847" s="40"/>
      <c r="AM847" s="5"/>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L848" s="40"/>
      <c r="AM848" s="5"/>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L849" s="40"/>
      <c r="AM849" s="5"/>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L850" s="40"/>
      <c r="AM850" s="5"/>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L851" s="40"/>
      <c r="AM851" s="5"/>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L852" s="40"/>
      <c r="AM852" s="5"/>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L853" s="40"/>
      <c r="AM853" s="5"/>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L854" s="40"/>
      <c r="AM854" s="5"/>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L855" s="40"/>
      <c r="AM855" s="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L856" s="40"/>
      <c r="AM856" s="5"/>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L857" s="40"/>
      <c r="AM857" s="5"/>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L858" s="40"/>
      <c r="AM858" s="5"/>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L859" s="40"/>
      <c r="AM859" s="5"/>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L860" s="40"/>
      <c r="AM860" s="5"/>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L861" s="40"/>
      <c r="AM861" s="5"/>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L862" s="40"/>
      <c r="AM862" s="5"/>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L863" s="40"/>
      <c r="AM863" s="5"/>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L864" s="40"/>
      <c r="AM864" s="5"/>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L865" s="40"/>
      <c r="AM865" s="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L866" s="40"/>
      <c r="AM866" s="5"/>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L867" s="40"/>
      <c r="AM867" s="5"/>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L868" s="40"/>
      <c r="AM868" s="5"/>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L869" s="40"/>
      <c r="AM869" s="5"/>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L870" s="40"/>
      <c r="AM870" s="5"/>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L871" s="40"/>
      <c r="AM871" s="5"/>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L872" s="40"/>
      <c r="AM872" s="5"/>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L873" s="40"/>
      <c r="AM873" s="5"/>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L874" s="40"/>
      <c r="AM874" s="5"/>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L875" s="40"/>
      <c r="AM875" s="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L876" s="40"/>
      <c r="AM876" s="5"/>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L877" s="40"/>
      <c r="AM877" s="5"/>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L878" s="40"/>
      <c r="AM878" s="5"/>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L879" s="40"/>
      <c r="AM879" s="5"/>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L880" s="40"/>
      <c r="AM880" s="5"/>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row r="881">
      <c r="AL881" s="40"/>
      <c r="AM881" s="5"/>
      <c r="AO881" s="40"/>
      <c r="AP881" s="5"/>
      <c r="AR881" s="40"/>
      <c r="AS881" s="5"/>
      <c r="AU881" s="40"/>
      <c r="AV881" s="5"/>
      <c r="AX881" s="40"/>
      <c r="AY881" s="5"/>
      <c r="BA881" s="40"/>
      <c r="BB881" s="5"/>
      <c r="BD881" s="40"/>
      <c r="BE881" s="5"/>
      <c r="BG881" s="40"/>
      <c r="BH881" s="5"/>
      <c r="BJ881" s="40"/>
      <c r="BK881" s="5"/>
      <c r="BM881" s="40"/>
      <c r="BN881" s="5"/>
      <c r="BP881" s="40"/>
      <c r="BQ881" s="5"/>
      <c r="BS881" s="40"/>
      <c r="BT881" s="5"/>
      <c r="BV881" s="40"/>
      <c r="BW881" s="5"/>
      <c r="BY881" s="40"/>
      <c r="BZ881" s="5"/>
      <c r="CB881" s="40"/>
      <c r="CC881" s="5"/>
      <c r="CE881" s="40"/>
      <c r="CF881" s="5"/>
      <c r="CH881" s="40"/>
      <c r="CI881" s="5"/>
      <c r="CK881" s="40"/>
      <c r="CL881" s="5"/>
      <c r="CN881" s="40"/>
      <c r="CO881" s="5"/>
      <c r="CQ881" s="40"/>
      <c r="CR881" s="5"/>
    </row>
    <row r="882">
      <c r="AL882" s="40"/>
      <c r="AM882" s="5"/>
      <c r="AO882" s="40"/>
      <c r="AP882" s="5"/>
      <c r="AR882" s="40"/>
      <c r="AS882" s="5"/>
      <c r="AU882" s="40"/>
      <c r="AV882" s="5"/>
      <c r="AX882" s="40"/>
      <c r="AY882" s="5"/>
      <c r="BA882" s="40"/>
      <c r="BB882" s="5"/>
      <c r="BD882" s="40"/>
      <c r="BE882" s="5"/>
      <c r="BG882" s="40"/>
      <c r="BH882" s="5"/>
      <c r="BJ882" s="40"/>
      <c r="BK882" s="5"/>
      <c r="BM882" s="40"/>
      <c r="BN882" s="5"/>
      <c r="BP882" s="40"/>
      <c r="BQ882" s="5"/>
      <c r="BS882" s="40"/>
      <c r="BT882" s="5"/>
      <c r="BV882" s="40"/>
      <c r="BW882" s="5"/>
      <c r="BY882" s="40"/>
      <c r="BZ882" s="5"/>
      <c r="CB882" s="40"/>
      <c r="CC882" s="5"/>
      <c r="CE882" s="40"/>
      <c r="CF882" s="5"/>
      <c r="CH882" s="40"/>
      <c r="CI882" s="5"/>
      <c r="CK882" s="40"/>
      <c r="CL882" s="5"/>
      <c r="CN882" s="40"/>
      <c r="CO882" s="5"/>
      <c r="CQ882" s="40"/>
      <c r="CR882" s="5"/>
    </row>
    <row r="883">
      <c r="AL883" s="40"/>
      <c r="AM883" s="5"/>
      <c r="AO883" s="40"/>
      <c r="AP883" s="5"/>
      <c r="AR883" s="40"/>
      <c r="AS883" s="5"/>
      <c r="AU883" s="40"/>
      <c r="AV883" s="5"/>
      <c r="AX883" s="40"/>
      <c r="AY883" s="5"/>
      <c r="BA883" s="40"/>
      <c r="BB883" s="5"/>
      <c r="BD883" s="40"/>
      <c r="BE883" s="5"/>
      <c r="BG883" s="40"/>
      <c r="BH883" s="5"/>
      <c r="BJ883" s="40"/>
      <c r="BK883" s="5"/>
      <c r="BM883" s="40"/>
      <c r="BN883" s="5"/>
      <c r="BP883" s="40"/>
      <c r="BQ883" s="5"/>
      <c r="BS883" s="40"/>
      <c r="BT883" s="5"/>
      <c r="BV883" s="40"/>
      <c r="BW883" s="5"/>
      <c r="BY883" s="40"/>
      <c r="BZ883" s="5"/>
      <c r="CB883" s="40"/>
      <c r="CC883" s="5"/>
      <c r="CE883" s="40"/>
      <c r="CF883" s="5"/>
      <c r="CH883" s="40"/>
      <c r="CI883" s="5"/>
      <c r="CK883" s="40"/>
      <c r="CL883" s="5"/>
      <c r="CN883" s="40"/>
      <c r="CO883" s="5"/>
      <c r="CQ883" s="40"/>
      <c r="CR883" s="5"/>
    </row>
    <row r="884">
      <c r="AL884" s="40"/>
      <c r="AM884" s="5"/>
      <c r="AO884" s="40"/>
      <c r="AP884" s="5"/>
      <c r="AR884" s="40"/>
      <c r="AS884" s="5"/>
      <c r="AU884" s="40"/>
      <c r="AV884" s="5"/>
      <c r="AX884" s="40"/>
      <c r="AY884" s="5"/>
      <c r="BA884" s="40"/>
      <c r="BB884" s="5"/>
      <c r="BD884" s="40"/>
      <c r="BE884" s="5"/>
      <c r="BG884" s="40"/>
      <c r="BH884" s="5"/>
      <c r="BJ884" s="40"/>
      <c r="BK884" s="5"/>
      <c r="BM884" s="40"/>
      <c r="BN884" s="5"/>
      <c r="BP884" s="40"/>
      <c r="BQ884" s="5"/>
      <c r="BS884" s="40"/>
      <c r="BT884" s="5"/>
      <c r="BV884" s="40"/>
      <c r="BW884" s="5"/>
      <c r="BY884" s="40"/>
      <c r="BZ884" s="5"/>
      <c r="CB884" s="40"/>
      <c r="CC884" s="5"/>
      <c r="CE884" s="40"/>
      <c r="CF884" s="5"/>
      <c r="CH884" s="40"/>
      <c r="CI884" s="5"/>
      <c r="CK884" s="40"/>
      <c r="CL884" s="5"/>
      <c r="CN884" s="40"/>
      <c r="CO884" s="5"/>
      <c r="CQ884" s="40"/>
      <c r="CR884" s="5"/>
    </row>
    <row r="885">
      <c r="AL885" s="40"/>
      <c r="AM885" s="5"/>
      <c r="AO885" s="40"/>
      <c r="AP885" s="5"/>
      <c r="AR885" s="40"/>
      <c r="AS885" s="5"/>
      <c r="AU885" s="40"/>
      <c r="AV885" s="5"/>
      <c r="AX885" s="40"/>
      <c r="AY885" s="5"/>
      <c r="BA885" s="40"/>
      <c r="BB885" s="5"/>
      <c r="BD885" s="40"/>
      <c r="BE885" s="5"/>
      <c r="BG885" s="40"/>
      <c r="BH885" s="5"/>
      <c r="BJ885" s="40"/>
      <c r="BK885" s="5"/>
      <c r="BM885" s="40"/>
      <c r="BN885" s="5"/>
      <c r="BP885" s="40"/>
      <c r="BQ885" s="5"/>
      <c r="BS885" s="40"/>
      <c r="BT885" s="5"/>
      <c r="BV885" s="40"/>
      <c r="BW885" s="5"/>
      <c r="BY885" s="40"/>
      <c r="BZ885" s="5"/>
      <c r="CB885" s="40"/>
      <c r="CC885" s="5"/>
      <c r="CE885" s="40"/>
      <c r="CF885" s="5"/>
      <c r="CH885" s="40"/>
      <c r="CI885" s="5"/>
      <c r="CK885" s="40"/>
      <c r="CL885" s="5"/>
      <c r="CN885" s="40"/>
      <c r="CO885" s="5"/>
      <c r="CQ885" s="40"/>
      <c r="CR885" s="5"/>
    </row>
    <row r="886">
      <c r="AL886" s="40"/>
      <c r="AM886" s="5"/>
      <c r="AO886" s="40"/>
      <c r="AP886" s="5"/>
      <c r="AR886" s="40"/>
      <c r="AS886" s="5"/>
      <c r="AU886" s="40"/>
      <c r="AV886" s="5"/>
      <c r="AX886" s="40"/>
      <c r="AY886" s="5"/>
      <c r="BA886" s="40"/>
      <c r="BB886" s="5"/>
      <c r="BD886" s="40"/>
      <c r="BE886" s="5"/>
      <c r="BG886" s="40"/>
      <c r="BH886" s="5"/>
      <c r="BJ886" s="40"/>
      <c r="BK886" s="5"/>
      <c r="BM886" s="40"/>
      <c r="BN886" s="5"/>
      <c r="BP886" s="40"/>
      <c r="BQ886" s="5"/>
      <c r="BS886" s="40"/>
      <c r="BT886" s="5"/>
      <c r="BV886" s="40"/>
      <c r="BW886" s="5"/>
      <c r="BY886" s="40"/>
      <c r="BZ886" s="5"/>
      <c r="CB886" s="40"/>
      <c r="CC886" s="5"/>
      <c r="CE886" s="40"/>
      <c r="CF886" s="5"/>
      <c r="CH886" s="40"/>
      <c r="CI886" s="5"/>
      <c r="CK886" s="40"/>
      <c r="CL886" s="5"/>
      <c r="CN886" s="40"/>
      <c r="CO886" s="5"/>
      <c r="CQ886" s="40"/>
      <c r="CR886" s="5"/>
    </row>
    <row r="887">
      <c r="AL887" s="40"/>
      <c r="AM887" s="5"/>
      <c r="AO887" s="40"/>
      <c r="AP887" s="5"/>
      <c r="AR887" s="40"/>
      <c r="AS887" s="5"/>
      <c r="AU887" s="40"/>
      <c r="AV887" s="5"/>
      <c r="AX887" s="40"/>
      <c r="AY887" s="5"/>
      <c r="BA887" s="40"/>
      <c r="BB887" s="5"/>
      <c r="BD887" s="40"/>
      <c r="BE887" s="5"/>
      <c r="BG887" s="40"/>
      <c r="BH887" s="5"/>
      <c r="BJ887" s="40"/>
      <c r="BK887" s="5"/>
      <c r="BM887" s="40"/>
      <c r="BN887" s="5"/>
      <c r="BP887" s="40"/>
      <c r="BQ887" s="5"/>
      <c r="BS887" s="40"/>
      <c r="BT887" s="5"/>
      <c r="BV887" s="40"/>
      <c r="BW887" s="5"/>
      <c r="BY887" s="40"/>
      <c r="BZ887" s="5"/>
      <c r="CB887" s="40"/>
      <c r="CC887" s="5"/>
      <c r="CE887" s="40"/>
      <c r="CF887" s="5"/>
      <c r="CH887" s="40"/>
      <c r="CI887" s="5"/>
      <c r="CK887" s="40"/>
      <c r="CL887" s="5"/>
      <c r="CN887" s="40"/>
      <c r="CO887" s="5"/>
      <c r="CQ887" s="40"/>
      <c r="CR887" s="5"/>
    </row>
    <row r="888">
      <c r="AL888" s="40"/>
      <c r="AM888" s="5"/>
      <c r="AO888" s="40"/>
      <c r="AP888" s="5"/>
      <c r="AR888" s="40"/>
      <c r="AS888" s="5"/>
      <c r="AU888" s="40"/>
      <c r="AV888" s="5"/>
      <c r="AX888" s="40"/>
      <c r="AY888" s="5"/>
      <c r="BA888" s="40"/>
      <c r="BB888" s="5"/>
      <c r="BD888" s="40"/>
      <c r="BE888" s="5"/>
      <c r="BG888" s="40"/>
      <c r="BH888" s="5"/>
      <c r="BJ888" s="40"/>
      <c r="BK888" s="5"/>
      <c r="BM888" s="40"/>
      <c r="BN888" s="5"/>
      <c r="BP888" s="40"/>
      <c r="BQ888" s="5"/>
      <c r="BS888" s="40"/>
      <c r="BT888" s="5"/>
      <c r="BV888" s="40"/>
      <c r="BW888" s="5"/>
      <c r="BY888" s="40"/>
      <c r="BZ888" s="5"/>
      <c r="CB888" s="40"/>
      <c r="CC888" s="5"/>
      <c r="CE888" s="40"/>
      <c r="CF888" s="5"/>
      <c r="CH888" s="40"/>
      <c r="CI888" s="5"/>
      <c r="CK888" s="40"/>
      <c r="CL888" s="5"/>
      <c r="CN888" s="40"/>
      <c r="CO888" s="5"/>
      <c r="CQ888" s="40"/>
      <c r="CR888" s="5"/>
    </row>
    <row r="889">
      <c r="AL889" s="40"/>
      <c r="AM889" s="5"/>
      <c r="AO889" s="40"/>
      <c r="AP889" s="5"/>
      <c r="AR889" s="40"/>
      <c r="AS889" s="5"/>
      <c r="AU889" s="40"/>
      <c r="AV889" s="5"/>
      <c r="AX889" s="40"/>
      <c r="AY889" s="5"/>
      <c r="BA889" s="40"/>
      <c r="BB889" s="5"/>
      <c r="BD889" s="40"/>
      <c r="BE889" s="5"/>
      <c r="BG889" s="40"/>
      <c r="BH889" s="5"/>
      <c r="BJ889" s="40"/>
      <c r="BK889" s="5"/>
      <c r="BM889" s="40"/>
      <c r="BN889" s="5"/>
      <c r="BP889" s="40"/>
      <c r="BQ889" s="5"/>
      <c r="BS889" s="40"/>
      <c r="BT889" s="5"/>
      <c r="BV889" s="40"/>
      <c r="BW889" s="5"/>
      <c r="BY889" s="40"/>
      <c r="BZ889" s="5"/>
      <c r="CB889" s="40"/>
      <c r="CC889" s="5"/>
      <c r="CE889" s="40"/>
      <c r="CF889" s="5"/>
      <c r="CH889" s="40"/>
      <c r="CI889" s="5"/>
      <c r="CK889" s="40"/>
      <c r="CL889" s="5"/>
      <c r="CN889" s="40"/>
      <c r="CO889" s="5"/>
      <c r="CQ889" s="40"/>
      <c r="CR889" s="5"/>
    </row>
    <row r="890">
      <c r="AL890" s="40"/>
      <c r="AM890" s="5"/>
      <c r="AO890" s="40"/>
      <c r="AP890" s="5"/>
      <c r="AR890" s="40"/>
      <c r="AS890" s="5"/>
      <c r="AU890" s="40"/>
      <c r="AV890" s="5"/>
      <c r="AX890" s="40"/>
      <c r="AY890" s="5"/>
      <c r="BA890" s="40"/>
      <c r="BB890" s="5"/>
      <c r="BD890" s="40"/>
      <c r="BE890" s="5"/>
      <c r="BG890" s="40"/>
      <c r="BH890" s="5"/>
      <c r="BJ890" s="40"/>
      <c r="BK890" s="5"/>
      <c r="BM890" s="40"/>
      <c r="BN890" s="5"/>
      <c r="BP890" s="40"/>
      <c r="BQ890" s="5"/>
      <c r="BS890" s="40"/>
      <c r="BT890" s="5"/>
      <c r="BV890" s="40"/>
      <c r="BW890" s="5"/>
      <c r="BY890" s="40"/>
      <c r="BZ890" s="5"/>
      <c r="CB890" s="40"/>
      <c r="CC890" s="5"/>
      <c r="CE890" s="40"/>
      <c r="CF890" s="5"/>
      <c r="CH890" s="40"/>
      <c r="CI890" s="5"/>
      <c r="CK890" s="40"/>
      <c r="CL890" s="5"/>
      <c r="CN890" s="40"/>
      <c r="CO890" s="5"/>
      <c r="CQ890" s="40"/>
      <c r="CR890" s="5"/>
    </row>
    <row r="891">
      <c r="AL891" s="40"/>
      <c r="AM891" s="5"/>
      <c r="AO891" s="40"/>
      <c r="AP891" s="5"/>
      <c r="AR891" s="40"/>
      <c r="AS891" s="5"/>
      <c r="AU891" s="40"/>
      <c r="AV891" s="5"/>
      <c r="AX891" s="40"/>
      <c r="AY891" s="5"/>
      <c r="BA891" s="40"/>
      <c r="BB891" s="5"/>
      <c r="BD891" s="40"/>
      <c r="BE891" s="5"/>
      <c r="BG891" s="40"/>
      <c r="BH891" s="5"/>
      <c r="BJ891" s="40"/>
      <c r="BK891" s="5"/>
      <c r="BM891" s="40"/>
      <c r="BN891" s="5"/>
      <c r="BP891" s="40"/>
      <c r="BQ891" s="5"/>
      <c r="BS891" s="40"/>
      <c r="BT891" s="5"/>
      <c r="BV891" s="40"/>
      <c r="BW891" s="5"/>
      <c r="BY891" s="40"/>
      <c r="BZ891" s="5"/>
      <c r="CB891" s="40"/>
      <c r="CC891" s="5"/>
      <c r="CE891" s="40"/>
      <c r="CF891" s="5"/>
      <c r="CH891" s="40"/>
      <c r="CI891" s="5"/>
      <c r="CK891" s="40"/>
      <c r="CL891" s="5"/>
      <c r="CN891" s="40"/>
      <c r="CO891" s="5"/>
      <c r="CQ891" s="40"/>
      <c r="CR891" s="5"/>
    </row>
    <row r="892">
      <c r="AL892" s="40"/>
      <c r="AM892" s="5"/>
      <c r="AO892" s="40"/>
      <c r="AP892" s="5"/>
      <c r="AR892" s="40"/>
      <c r="AS892" s="5"/>
      <c r="AU892" s="40"/>
      <c r="AV892" s="5"/>
      <c r="AX892" s="40"/>
      <c r="AY892" s="5"/>
      <c r="BA892" s="40"/>
      <c r="BB892" s="5"/>
      <c r="BD892" s="40"/>
      <c r="BE892" s="5"/>
      <c r="BG892" s="40"/>
      <c r="BH892" s="5"/>
      <c r="BJ892" s="40"/>
      <c r="BK892" s="5"/>
      <c r="BM892" s="40"/>
      <c r="BN892" s="5"/>
      <c r="BP892" s="40"/>
      <c r="BQ892" s="5"/>
      <c r="BS892" s="40"/>
      <c r="BT892" s="5"/>
      <c r="BV892" s="40"/>
      <c r="BW892" s="5"/>
      <c r="BY892" s="40"/>
      <c r="BZ892" s="5"/>
      <c r="CB892" s="40"/>
      <c r="CC892" s="5"/>
      <c r="CE892" s="40"/>
      <c r="CF892" s="5"/>
      <c r="CH892" s="40"/>
      <c r="CI892" s="5"/>
      <c r="CK892" s="40"/>
      <c r="CL892" s="5"/>
      <c r="CN892" s="40"/>
      <c r="CO892" s="5"/>
      <c r="CQ892" s="40"/>
      <c r="CR892" s="5"/>
    </row>
    <row r="893">
      <c r="AL893" s="40"/>
      <c r="AM893" s="5"/>
      <c r="AO893" s="40"/>
      <c r="AP893" s="5"/>
      <c r="AR893" s="40"/>
      <c r="AS893" s="5"/>
      <c r="AU893" s="40"/>
      <c r="AV893" s="5"/>
      <c r="AX893" s="40"/>
      <c r="AY893" s="5"/>
      <c r="BA893" s="40"/>
      <c r="BB893" s="5"/>
      <c r="BD893" s="40"/>
      <c r="BE893" s="5"/>
      <c r="BG893" s="40"/>
      <c r="BH893" s="5"/>
      <c r="BJ893" s="40"/>
      <c r="BK893" s="5"/>
      <c r="BM893" s="40"/>
      <c r="BN893" s="5"/>
      <c r="BP893" s="40"/>
      <c r="BQ893" s="5"/>
      <c r="BS893" s="40"/>
      <c r="BT893" s="5"/>
      <c r="BV893" s="40"/>
      <c r="BW893" s="5"/>
      <c r="BY893" s="40"/>
      <c r="BZ893" s="5"/>
      <c r="CB893" s="40"/>
      <c r="CC893" s="5"/>
      <c r="CE893" s="40"/>
      <c r="CF893" s="5"/>
      <c r="CH893" s="40"/>
      <c r="CI893" s="5"/>
      <c r="CK893" s="40"/>
      <c r="CL893" s="5"/>
      <c r="CN893" s="40"/>
      <c r="CO893" s="5"/>
      <c r="CQ893" s="40"/>
      <c r="CR893" s="5"/>
    </row>
    <row r="894">
      <c r="AL894" s="40"/>
      <c r="AM894" s="5"/>
      <c r="AO894" s="40"/>
      <c r="AP894" s="5"/>
      <c r="AR894" s="40"/>
      <c r="AS894" s="5"/>
      <c r="AU894" s="40"/>
      <c r="AV894" s="5"/>
      <c r="AX894" s="40"/>
      <c r="AY894" s="5"/>
      <c r="BA894" s="40"/>
      <c r="BB894" s="5"/>
      <c r="BD894" s="40"/>
      <c r="BE894" s="5"/>
      <c r="BG894" s="40"/>
      <c r="BH894" s="5"/>
      <c r="BJ894" s="40"/>
      <c r="BK894" s="5"/>
      <c r="BM894" s="40"/>
      <c r="BN894" s="5"/>
      <c r="BP894" s="40"/>
      <c r="BQ894" s="5"/>
      <c r="BS894" s="40"/>
      <c r="BT894" s="5"/>
      <c r="BV894" s="40"/>
      <c r="BW894" s="5"/>
      <c r="BY894" s="40"/>
      <c r="BZ894" s="5"/>
      <c r="CB894" s="40"/>
      <c r="CC894" s="5"/>
      <c r="CE894" s="40"/>
      <c r="CF894" s="5"/>
      <c r="CH894" s="40"/>
      <c r="CI894" s="5"/>
      <c r="CK894" s="40"/>
      <c r="CL894" s="5"/>
      <c r="CN894" s="40"/>
      <c r="CO894" s="5"/>
      <c r="CQ894" s="40"/>
      <c r="CR894" s="5"/>
    </row>
    <row r="895">
      <c r="AL895" s="40"/>
      <c r="AM895" s="5"/>
      <c r="AO895" s="40"/>
      <c r="AP895" s="5"/>
      <c r="AR895" s="40"/>
      <c r="AS895" s="5"/>
      <c r="AU895" s="40"/>
      <c r="AV895" s="5"/>
      <c r="AX895" s="40"/>
      <c r="AY895" s="5"/>
      <c r="BA895" s="40"/>
      <c r="BB895" s="5"/>
      <c r="BD895" s="40"/>
      <c r="BE895" s="5"/>
      <c r="BG895" s="40"/>
      <c r="BH895" s="5"/>
      <c r="BJ895" s="40"/>
      <c r="BK895" s="5"/>
      <c r="BM895" s="40"/>
      <c r="BN895" s="5"/>
      <c r="BP895" s="40"/>
      <c r="BQ895" s="5"/>
      <c r="BS895" s="40"/>
      <c r="BT895" s="5"/>
      <c r="BV895" s="40"/>
      <c r="BW895" s="5"/>
      <c r="BY895" s="40"/>
      <c r="BZ895" s="5"/>
      <c r="CB895" s="40"/>
      <c r="CC895" s="5"/>
      <c r="CE895" s="40"/>
      <c r="CF895" s="5"/>
      <c r="CH895" s="40"/>
      <c r="CI895" s="5"/>
      <c r="CK895" s="40"/>
      <c r="CL895" s="5"/>
      <c r="CN895" s="40"/>
      <c r="CO895" s="5"/>
      <c r="CQ895" s="40"/>
      <c r="CR895" s="5"/>
    </row>
    <row r="896">
      <c r="AL896" s="40"/>
      <c r="AM896" s="5"/>
      <c r="AO896" s="40"/>
      <c r="AP896" s="5"/>
      <c r="AR896" s="40"/>
      <c r="AS896" s="5"/>
      <c r="AU896" s="40"/>
      <c r="AV896" s="5"/>
      <c r="AX896" s="40"/>
      <c r="AY896" s="5"/>
      <c r="BA896" s="40"/>
      <c r="BB896" s="5"/>
      <c r="BD896" s="40"/>
      <c r="BE896" s="5"/>
      <c r="BG896" s="40"/>
      <c r="BH896" s="5"/>
      <c r="BJ896" s="40"/>
      <c r="BK896" s="5"/>
      <c r="BM896" s="40"/>
      <c r="BN896" s="5"/>
      <c r="BP896" s="40"/>
      <c r="BQ896" s="5"/>
      <c r="BS896" s="40"/>
      <c r="BT896" s="5"/>
      <c r="BV896" s="40"/>
      <c r="BW896" s="5"/>
      <c r="BY896" s="40"/>
      <c r="BZ896" s="5"/>
      <c r="CB896" s="40"/>
      <c r="CC896" s="5"/>
      <c r="CE896" s="40"/>
      <c r="CF896" s="5"/>
      <c r="CH896" s="40"/>
      <c r="CI896" s="5"/>
      <c r="CK896" s="40"/>
      <c r="CL896" s="5"/>
      <c r="CN896" s="40"/>
      <c r="CO896" s="5"/>
      <c r="CQ896" s="40"/>
      <c r="CR896" s="5"/>
    </row>
    <row r="897">
      <c r="AL897" s="40"/>
      <c r="AM897" s="5"/>
      <c r="AO897" s="40"/>
      <c r="AP897" s="5"/>
      <c r="AR897" s="40"/>
      <c r="AS897" s="5"/>
      <c r="AU897" s="40"/>
      <c r="AV897" s="5"/>
      <c r="AX897" s="40"/>
      <c r="AY897" s="5"/>
      <c r="BA897" s="40"/>
      <c r="BB897" s="5"/>
      <c r="BD897" s="40"/>
      <c r="BE897" s="5"/>
      <c r="BG897" s="40"/>
      <c r="BH897" s="5"/>
      <c r="BJ897" s="40"/>
      <c r="BK897" s="5"/>
      <c r="BM897" s="40"/>
      <c r="BN897" s="5"/>
      <c r="BP897" s="40"/>
      <c r="BQ897" s="5"/>
      <c r="BS897" s="40"/>
      <c r="BT897" s="5"/>
      <c r="BV897" s="40"/>
      <c r="BW897" s="5"/>
      <c r="BY897" s="40"/>
      <c r="BZ897" s="5"/>
      <c r="CB897" s="40"/>
      <c r="CC897" s="5"/>
      <c r="CE897" s="40"/>
      <c r="CF897" s="5"/>
      <c r="CH897" s="40"/>
      <c r="CI897" s="5"/>
      <c r="CK897" s="40"/>
      <c r="CL897" s="5"/>
      <c r="CN897" s="40"/>
      <c r="CO897" s="5"/>
      <c r="CQ897" s="40"/>
      <c r="CR897" s="5"/>
    </row>
    <row r="898">
      <c r="AL898" s="40"/>
      <c r="AM898" s="5"/>
      <c r="AO898" s="40"/>
      <c r="AP898" s="5"/>
      <c r="AR898" s="40"/>
      <c r="AS898" s="5"/>
      <c r="AU898" s="40"/>
      <c r="AV898" s="5"/>
      <c r="AX898" s="40"/>
      <c r="AY898" s="5"/>
      <c r="BA898" s="40"/>
      <c r="BB898" s="5"/>
      <c r="BD898" s="40"/>
      <c r="BE898" s="5"/>
      <c r="BG898" s="40"/>
      <c r="BH898" s="5"/>
      <c r="BJ898" s="40"/>
      <c r="BK898" s="5"/>
      <c r="BM898" s="40"/>
      <c r="BN898" s="5"/>
      <c r="BP898" s="40"/>
      <c r="BQ898" s="5"/>
      <c r="BS898" s="40"/>
      <c r="BT898" s="5"/>
      <c r="BV898" s="40"/>
      <c r="BW898" s="5"/>
      <c r="BY898" s="40"/>
      <c r="BZ898" s="5"/>
      <c r="CB898" s="40"/>
      <c r="CC898" s="5"/>
      <c r="CE898" s="40"/>
      <c r="CF898" s="5"/>
      <c r="CH898" s="40"/>
      <c r="CI898" s="5"/>
      <c r="CK898" s="40"/>
      <c r="CL898" s="5"/>
      <c r="CN898" s="40"/>
      <c r="CO898" s="5"/>
      <c r="CQ898" s="40"/>
      <c r="CR898" s="5"/>
    </row>
    <row r="899">
      <c r="AL899" s="40"/>
      <c r="AM899" s="5"/>
      <c r="AO899" s="40"/>
      <c r="AP899" s="5"/>
      <c r="AR899" s="40"/>
      <c r="AS899" s="5"/>
      <c r="AU899" s="40"/>
      <c r="AV899" s="5"/>
      <c r="AX899" s="40"/>
      <c r="AY899" s="5"/>
      <c r="BA899" s="40"/>
      <c r="BB899" s="5"/>
      <c r="BD899" s="40"/>
      <c r="BE899" s="5"/>
      <c r="BG899" s="40"/>
      <c r="BH899" s="5"/>
      <c r="BJ899" s="40"/>
      <c r="BK899" s="5"/>
      <c r="BM899" s="40"/>
      <c r="BN899" s="5"/>
      <c r="BP899" s="40"/>
      <c r="BQ899" s="5"/>
      <c r="BS899" s="40"/>
      <c r="BT899" s="5"/>
      <c r="BV899" s="40"/>
      <c r="BW899" s="5"/>
      <c r="BY899" s="40"/>
      <c r="BZ899" s="5"/>
      <c r="CB899" s="40"/>
      <c r="CC899" s="5"/>
      <c r="CE899" s="40"/>
      <c r="CF899" s="5"/>
      <c r="CH899" s="40"/>
      <c r="CI899" s="5"/>
      <c r="CK899" s="40"/>
      <c r="CL899" s="5"/>
      <c r="CN899" s="40"/>
      <c r="CO899" s="5"/>
      <c r="CQ899" s="40"/>
      <c r="CR899" s="5"/>
    </row>
    <row r="900">
      <c r="AL900" s="40"/>
      <c r="AM900" s="5"/>
      <c r="AO900" s="40"/>
      <c r="AP900" s="5"/>
      <c r="AR900" s="40"/>
      <c r="AS900" s="5"/>
      <c r="AU900" s="40"/>
      <c r="AV900" s="5"/>
      <c r="AX900" s="40"/>
      <c r="AY900" s="5"/>
      <c r="BA900" s="40"/>
      <c r="BB900" s="5"/>
      <c r="BD900" s="40"/>
      <c r="BE900" s="5"/>
      <c r="BG900" s="40"/>
      <c r="BH900" s="5"/>
      <c r="BJ900" s="40"/>
      <c r="BK900" s="5"/>
      <c r="BM900" s="40"/>
      <c r="BN900" s="5"/>
      <c r="BP900" s="40"/>
      <c r="BQ900" s="5"/>
      <c r="BS900" s="40"/>
      <c r="BT900" s="5"/>
      <c r="BV900" s="40"/>
      <c r="BW900" s="5"/>
      <c r="BY900" s="40"/>
      <c r="BZ900" s="5"/>
      <c r="CB900" s="40"/>
      <c r="CC900" s="5"/>
      <c r="CE900" s="40"/>
      <c r="CF900" s="5"/>
      <c r="CH900" s="40"/>
      <c r="CI900" s="5"/>
      <c r="CK900" s="40"/>
      <c r="CL900" s="5"/>
      <c r="CN900" s="40"/>
      <c r="CO900" s="5"/>
      <c r="CQ900" s="40"/>
      <c r="CR900" s="5"/>
    </row>
    <row r="901">
      <c r="AL901" s="40"/>
      <c r="AM901" s="5"/>
      <c r="AO901" s="40"/>
      <c r="AP901" s="5"/>
      <c r="AR901" s="40"/>
      <c r="AS901" s="5"/>
      <c r="AU901" s="40"/>
      <c r="AV901" s="5"/>
      <c r="AX901" s="40"/>
      <c r="AY901" s="5"/>
      <c r="BA901" s="40"/>
      <c r="BB901" s="5"/>
      <c r="BD901" s="40"/>
      <c r="BE901" s="5"/>
      <c r="BG901" s="40"/>
      <c r="BH901" s="5"/>
      <c r="BJ901" s="40"/>
      <c r="BK901" s="5"/>
      <c r="BM901" s="40"/>
      <c r="BN901" s="5"/>
      <c r="BP901" s="40"/>
      <c r="BQ901" s="5"/>
      <c r="BS901" s="40"/>
      <c r="BT901" s="5"/>
      <c r="BV901" s="40"/>
      <c r="BW901" s="5"/>
      <c r="BY901" s="40"/>
      <c r="BZ901" s="5"/>
      <c r="CB901" s="40"/>
      <c r="CC901" s="5"/>
      <c r="CE901" s="40"/>
      <c r="CF901" s="5"/>
      <c r="CH901" s="40"/>
      <c r="CI901" s="5"/>
      <c r="CK901" s="40"/>
      <c r="CL901" s="5"/>
      <c r="CN901" s="40"/>
      <c r="CO901" s="5"/>
      <c r="CQ901" s="40"/>
      <c r="CR901" s="5"/>
    </row>
    <row r="902">
      <c r="AL902" s="40"/>
      <c r="AM902" s="5"/>
      <c r="AO902" s="40"/>
      <c r="AP902" s="5"/>
      <c r="AR902" s="40"/>
      <c r="AS902" s="5"/>
      <c r="AU902" s="40"/>
      <c r="AV902" s="5"/>
      <c r="AX902" s="40"/>
      <c r="AY902" s="5"/>
      <c r="BA902" s="40"/>
      <c r="BB902" s="5"/>
      <c r="BD902" s="40"/>
      <c r="BE902" s="5"/>
      <c r="BG902" s="40"/>
      <c r="BH902" s="5"/>
      <c r="BJ902" s="40"/>
      <c r="BK902" s="5"/>
      <c r="BM902" s="40"/>
      <c r="BN902" s="5"/>
      <c r="BP902" s="40"/>
      <c r="BQ902" s="5"/>
      <c r="BS902" s="40"/>
      <c r="BT902" s="5"/>
      <c r="BV902" s="40"/>
      <c r="BW902" s="5"/>
      <c r="BY902" s="40"/>
      <c r="BZ902" s="5"/>
      <c r="CB902" s="40"/>
      <c r="CC902" s="5"/>
      <c r="CE902" s="40"/>
      <c r="CF902" s="5"/>
      <c r="CH902" s="40"/>
      <c r="CI902" s="5"/>
      <c r="CK902" s="40"/>
      <c r="CL902" s="5"/>
      <c r="CN902" s="40"/>
      <c r="CO902" s="5"/>
      <c r="CQ902" s="40"/>
      <c r="CR902" s="5"/>
    </row>
    <row r="903">
      <c r="AL903" s="40"/>
      <c r="AM903" s="5"/>
      <c r="AO903" s="40"/>
      <c r="AP903" s="5"/>
      <c r="AR903" s="40"/>
      <c r="AS903" s="5"/>
      <c r="AU903" s="40"/>
      <c r="AV903" s="5"/>
      <c r="AX903" s="40"/>
      <c r="AY903" s="5"/>
      <c r="BA903" s="40"/>
      <c r="BB903" s="5"/>
      <c r="BD903" s="40"/>
      <c r="BE903" s="5"/>
      <c r="BG903" s="40"/>
      <c r="BH903" s="5"/>
      <c r="BJ903" s="40"/>
      <c r="BK903" s="5"/>
      <c r="BM903" s="40"/>
      <c r="BN903" s="5"/>
      <c r="BP903" s="40"/>
      <c r="BQ903" s="5"/>
      <c r="BS903" s="40"/>
      <c r="BT903" s="5"/>
      <c r="BV903" s="40"/>
      <c r="BW903" s="5"/>
      <c r="BY903" s="40"/>
      <c r="BZ903" s="5"/>
      <c r="CB903" s="40"/>
      <c r="CC903" s="5"/>
      <c r="CE903" s="40"/>
      <c r="CF903" s="5"/>
      <c r="CH903" s="40"/>
      <c r="CI903" s="5"/>
      <c r="CK903" s="40"/>
      <c r="CL903" s="5"/>
      <c r="CN903" s="40"/>
      <c r="CO903" s="5"/>
      <c r="CQ903" s="40"/>
      <c r="CR903" s="5"/>
    </row>
    <row r="904">
      <c r="AL904" s="40"/>
      <c r="AM904" s="5"/>
      <c r="AO904" s="40"/>
      <c r="AP904" s="5"/>
      <c r="AR904" s="40"/>
      <c r="AS904" s="5"/>
      <c r="AU904" s="40"/>
      <c r="AV904" s="5"/>
      <c r="AX904" s="40"/>
      <c r="AY904" s="5"/>
      <c r="BA904" s="40"/>
      <c r="BB904" s="5"/>
      <c r="BD904" s="40"/>
      <c r="BE904" s="5"/>
      <c r="BG904" s="40"/>
      <c r="BH904" s="5"/>
      <c r="BJ904" s="40"/>
      <c r="BK904" s="5"/>
      <c r="BM904" s="40"/>
      <c r="BN904" s="5"/>
      <c r="BP904" s="40"/>
      <c r="BQ904" s="5"/>
      <c r="BS904" s="40"/>
      <c r="BT904" s="5"/>
      <c r="BV904" s="40"/>
      <c r="BW904" s="5"/>
      <c r="BY904" s="40"/>
      <c r="BZ904" s="5"/>
      <c r="CB904" s="40"/>
      <c r="CC904" s="5"/>
      <c r="CE904" s="40"/>
      <c r="CF904" s="5"/>
      <c r="CH904" s="40"/>
      <c r="CI904" s="5"/>
      <c r="CK904" s="40"/>
      <c r="CL904" s="5"/>
      <c r="CN904" s="40"/>
      <c r="CO904" s="5"/>
      <c r="CQ904" s="40"/>
      <c r="CR904" s="5"/>
    </row>
    <row r="905">
      <c r="AL905" s="40"/>
      <c r="AM905" s="5"/>
      <c r="AO905" s="40"/>
      <c r="AP905" s="5"/>
      <c r="AR905" s="40"/>
      <c r="AS905" s="5"/>
      <c r="AU905" s="40"/>
      <c r="AV905" s="5"/>
      <c r="AX905" s="40"/>
      <c r="AY905" s="5"/>
      <c r="BA905" s="40"/>
      <c r="BB905" s="5"/>
      <c r="BD905" s="40"/>
      <c r="BE905" s="5"/>
      <c r="BG905" s="40"/>
      <c r="BH905" s="5"/>
      <c r="BJ905" s="40"/>
      <c r="BK905" s="5"/>
      <c r="BM905" s="40"/>
      <c r="BN905" s="5"/>
      <c r="BP905" s="40"/>
      <c r="BQ905" s="5"/>
      <c r="BS905" s="40"/>
      <c r="BT905" s="5"/>
      <c r="BV905" s="40"/>
      <c r="BW905" s="5"/>
      <c r="BY905" s="40"/>
      <c r="BZ905" s="5"/>
      <c r="CB905" s="40"/>
      <c r="CC905" s="5"/>
      <c r="CE905" s="40"/>
      <c r="CF905" s="5"/>
      <c r="CH905" s="40"/>
      <c r="CI905" s="5"/>
      <c r="CK905" s="40"/>
      <c r="CL905" s="5"/>
      <c r="CN905" s="40"/>
      <c r="CO905" s="5"/>
      <c r="CQ905" s="40"/>
      <c r="CR905" s="5"/>
    </row>
    <row r="906">
      <c r="AL906" s="40"/>
      <c r="AM906" s="5"/>
      <c r="AO906" s="40"/>
      <c r="AP906" s="5"/>
      <c r="AR906" s="40"/>
      <c r="AS906" s="5"/>
      <c r="AU906" s="40"/>
      <c r="AV906" s="5"/>
      <c r="AX906" s="40"/>
      <c r="AY906" s="5"/>
      <c r="BA906" s="40"/>
      <c r="BB906" s="5"/>
      <c r="BD906" s="40"/>
      <c r="BE906" s="5"/>
      <c r="BG906" s="40"/>
      <c r="BH906" s="5"/>
      <c r="BJ906" s="40"/>
      <c r="BK906" s="5"/>
      <c r="BM906" s="40"/>
      <c r="BN906" s="5"/>
      <c r="BP906" s="40"/>
      <c r="BQ906" s="5"/>
      <c r="BS906" s="40"/>
      <c r="BT906" s="5"/>
      <c r="BV906" s="40"/>
      <c r="BW906" s="5"/>
      <c r="BY906" s="40"/>
      <c r="BZ906" s="5"/>
      <c r="CB906" s="40"/>
      <c r="CC906" s="5"/>
      <c r="CE906" s="40"/>
      <c r="CF906" s="5"/>
      <c r="CH906" s="40"/>
      <c r="CI906" s="5"/>
      <c r="CK906" s="40"/>
      <c r="CL906" s="5"/>
      <c r="CN906" s="40"/>
      <c r="CO906" s="5"/>
      <c r="CQ906" s="40"/>
      <c r="CR906" s="5"/>
    </row>
    <row r="907">
      <c r="AL907" s="40"/>
      <c r="AM907" s="5"/>
      <c r="AO907" s="40"/>
      <c r="AP907" s="5"/>
      <c r="AR907" s="40"/>
      <c r="AS907" s="5"/>
      <c r="AU907" s="40"/>
      <c r="AV907" s="5"/>
      <c r="AX907" s="40"/>
      <c r="AY907" s="5"/>
      <c r="BA907" s="40"/>
      <c r="BB907" s="5"/>
      <c r="BD907" s="40"/>
      <c r="BE907" s="5"/>
      <c r="BG907" s="40"/>
      <c r="BH907" s="5"/>
      <c r="BJ907" s="40"/>
      <c r="BK907" s="5"/>
      <c r="BM907" s="40"/>
      <c r="BN907" s="5"/>
      <c r="BP907" s="40"/>
      <c r="BQ907" s="5"/>
      <c r="BS907" s="40"/>
      <c r="BT907" s="5"/>
      <c r="BV907" s="40"/>
      <c r="BW907" s="5"/>
      <c r="BY907" s="40"/>
      <c r="BZ907" s="5"/>
      <c r="CB907" s="40"/>
      <c r="CC907" s="5"/>
      <c r="CE907" s="40"/>
      <c r="CF907" s="5"/>
      <c r="CH907" s="40"/>
      <c r="CI907" s="5"/>
      <c r="CK907" s="40"/>
      <c r="CL907" s="5"/>
      <c r="CN907" s="40"/>
      <c r="CO907" s="5"/>
      <c r="CQ907" s="40"/>
      <c r="CR907" s="5"/>
    </row>
    <row r="908">
      <c r="AL908" s="40"/>
      <c r="AM908" s="5"/>
      <c r="AO908" s="40"/>
      <c r="AP908" s="5"/>
      <c r="AR908" s="40"/>
      <c r="AS908" s="5"/>
      <c r="AU908" s="40"/>
      <c r="AV908" s="5"/>
      <c r="AX908" s="40"/>
      <c r="AY908" s="5"/>
      <c r="BA908" s="40"/>
      <c r="BB908" s="5"/>
      <c r="BD908" s="40"/>
      <c r="BE908" s="5"/>
      <c r="BG908" s="40"/>
      <c r="BH908" s="5"/>
      <c r="BJ908" s="40"/>
      <c r="BK908" s="5"/>
      <c r="BM908" s="40"/>
      <c r="BN908" s="5"/>
      <c r="BP908" s="40"/>
      <c r="BQ908" s="5"/>
      <c r="BS908" s="40"/>
      <c r="BT908" s="5"/>
      <c r="BV908" s="40"/>
      <c r="BW908" s="5"/>
      <c r="BY908" s="40"/>
      <c r="BZ908" s="5"/>
      <c r="CB908" s="40"/>
      <c r="CC908" s="5"/>
      <c r="CE908" s="40"/>
      <c r="CF908" s="5"/>
      <c r="CH908" s="40"/>
      <c r="CI908" s="5"/>
      <c r="CK908" s="40"/>
      <c r="CL908" s="5"/>
      <c r="CN908" s="40"/>
      <c r="CO908" s="5"/>
      <c r="CQ908" s="40"/>
      <c r="CR908" s="5"/>
    </row>
    <row r="909">
      <c r="AL909" s="40"/>
      <c r="AM909" s="5"/>
      <c r="AO909" s="40"/>
      <c r="AP909" s="5"/>
      <c r="AR909" s="40"/>
      <c r="AS909" s="5"/>
      <c r="AU909" s="40"/>
      <c r="AV909" s="5"/>
      <c r="AX909" s="40"/>
      <c r="AY909" s="5"/>
      <c r="BA909" s="40"/>
      <c r="BB909" s="5"/>
      <c r="BD909" s="40"/>
      <c r="BE909" s="5"/>
      <c r="BG909" s="40"/>
      <c r="BH909" s="5"/>
      <c r="BJ909" s="40"/>
      <c r="BK909" s="5"/>
      <c r="BM909" s="40"/>
      <c r="BN909" s="5"/>
      <c r="BP909" s="40"/>
      <c r="BQ909" s="5"/>
      <c r="BS909" s="40"/>
      <c r="BT909" s="5"/>
      <c r="BV909" s="40"/>
      <c r="BW909" s="5"/>
      <c r="BY909" s="40"/>
      <c r="BZ909" s="5"/>
      <c r="CB909" s="40"/>
      <c r="CC909" s="5"/>
      <c r="CE909" s="40"/>
      <c r="CF909" s="5"/>
      <c r="CH909" s="40"/>
      <c r="CI909" s="5"/>
      <c r="CK909" s="40"/>
      <c r="CL909" s="5"/>
      <c r="CN909" s="40"/>
      <c r="CO909" s="5"/>
      <c r="CQ909" s="40"/>
      <c r="CR909" s="5"/>
    </row>
    <row r="910">
      <c r="AL910" s="40"/>
      <c r="AM910" s="5"/>
      <c r="AO910" s="40"/>
      <c r="AP910" s="5"/>
      <c r="AR910" s="40"/>
      <c r="AS910" s="5"/>
      <c r="AU910" s="40"/>
      <c r="AV910" s="5"/>
      <c r="AX910" s="40"/>
      <c r="AY910" s="5"/>
      <c r="BA910" s="40"/>
      <c r="BB910" s="5"/>
      <c r="BD910" s="40"/>
      <c r="BE910" s="5"/>
      <c r="BG910" s="40"/>
      <c r="BH910" s="5"/>
      <c r="BJ910" s="40"/>
      <c r="BK910" s="5"/>
      <c r="BM910" s="40"/>
      <c r="BN910" s="5"/>
      <c r="BP910" s="40"/>
      <c r="BQ910" s="5"/>
      <c r="BS910" s="40"/>
      <c r="BT910" s="5"/>
      <c r="BV910" s="40"/>
      <c r="BW910" s="5"/>
      <c r="BY910" s="40"/>
      <c r="BZ910" s="5"/>
      <c r="CB910" s="40"/>
      <c r="CC910" s="5"/>
      <c r="CE910" s="40"/>
      <c r="CF910" s="5"/>
      <c r="CH910" s="40"/>
      <c r="CI910" s="5"/>
      <c r="CK910" s="40"/>
      <c r="CL910" s="5"/>
      <c r="CN910" s="40"/>
      <c r="CO910" s="5"/>
      <c r="CQ910" s="40"/>
      <c r="CR910" s="5"/>
    </row>
    <row r="911">
      <c r="AL911" s="40"/>
      <c r="AM911" s="5"/>
      <c r="AO911" s="40"/>
      <c r="AP911" s="5"/>
      <c r="AR911" s="40"/>
      <c r="AS911" s="5"/>
      <c r="AU911" s="40"/>
      <c r="AV911" s="5"/>
      <c r="AX911" s="40"/>
      <c r="AY911" s="5"/>
      <c r="BA911" s="40"/>
      <c r="BB911" s="5"/>
      <c r="BD911" s="40"/>
      <c r="BE911" s="5"/>
      <c r="BG911" s="40"/>
      <c r="BH911" s="5"/>
      <c r="BJ911" s="40"/>
      <c r="BK911" s="5"/>
      <c r="BM911" s="40"/>
      <c r="BN911" s="5"/>
      <c r="BP911" s="40"/>
      <c r="BQ911" s="5"/>
      <c r="BS911" s="40"/>
      <c r="BT911" s="5"/>
      <c r="BV911" s="40"/>
      <c r="BW911" s="5"/>
      <c r="BY911" s="40"/>
      <c r="BZ911" s="5"/>
      <c r="CB911" s="40"/>
      <c r="CC911" s="5"/>
      <c r="CE911" s="40"/>
      <c r="CF911" s="5"/>
      <c r="CH911" s="40"/>
      <c r="CI911" s="5"/>
      <c r="CK911" s="40"/>
      <c r="CL911" s="5"/>
      <c r="CN911" s="40"/>
      <c r="CO911" s="5"/>
      <c r="CQ911" s="40"/>
      <c r="CR911" s="5"/>
    </row>
    <row r="912">
      <c r="AL912" s="40"/>
      <c r="AM912" s="5"/>
      <c r="AO912" s="40"/>
      <c r="AP912" s="5"/>
      <c r="AR912" s="40"/>
      <c r="AS912" s="5"/>
      <c r="AU912" s="40"/>
      <c r="AV912" s="5"/>
      <c r="AX912" s="40"/>
      <c r="AY912" s="5"/>
      <c r="BA912" s="40"/>
      <c r="BB912" s="5"/>
      <c r="BD912" s="40"/>
      <c r="BE912" s="5"/>
      <c r="BG912" s="40"/>
      <c r="BH912" s="5"/>
      <c r="BJ912" s="40"/>
      <c r="BK912" s="5"/>
      <c r="BM912" s="40"/>
      <c r="BN912" s="5"/>
      <c r="BP912" s="40"/>
      <c r="BQ912" s="5"/>
      <c r="BS912" s="40"/>
      <c r="BT912" s="5"/>
      <c r="BV912" s="40"/>
      <c r="BW912" s="5"/>
      <c r="BY912" s="40"/>
      <c r="BZ912" s="5"/>
      <c r="CB912" s="40"/>
      <c r="CC912" s="5"/>
      <c r="CE912" s="40"/>
      <c r="CF912" s="5"/>
      <c r="CH912" s="40"/>
      <c r="CI912" s="5"/>
      <c r="CK912" s="40"/>
      <c r="CL912" s="5"/>
      <c r="CN912" s="40"/>
      <c r="CO912" s="5"/>
      <c r="CQ912" s="40"/>
      <c r="CR912" s="5"/>
    </row>
    <row r="913">
      <c r="AL913" s="40"/>
      <c r="AM913" s="5"/>
      <c r="AO913" s="40"/>
      <c r="AP913" s="5"/>
      <c r="AR913" s="40"/>
      <c r="AS913" s="5"/>
      <c r="AU913" s="40"/>
      <c r="AV913" s="5"/>
      <c r="AX913" s="40"/>
      <c r="AY913" s="5"/>
      <c r="BA913" s="40"/>
      <c r="BB913" s="5"/>
      <c r="BD913" s="40"/>
      <c r="BE913" s="5"/>
      <c r="BG913" s="40"/>
      <c r="BH913" s="5"/>
      <c r="BJ913" s="40"/>
      <c r="BK913" s="5"/>
      <c r="BM913" s="40"/>
      <c r="BN913" s="5"/>
      <c r="BP913" s="40"/>
      <c r="BQ913" s="5"/>
      <c r="BS913" s="40"/>
      <c r="BT913" s="5"/>
      <c r="BV913" s="40"/>
      <c r="BW913" s="5"/>
      <c r="BY913" s="40"/>
      <c r="BZ913" s="5"/>
      <c r="CB913" s="40"/>
      <c r="CC913" s="5"/>
      <c r="CE913" s="40"/>
      <c r="CF913" s="5"/>
      <c r="CH913" s="40"/>
      <c r="CI913" s="5"/>
      <c r="CK913" s="40"/>
      <c r="CL913" s="5"/>
      <c r="CN913" s="40"/>
      <c r="CO913" s="5"/>
      <c r="CQ913" s="40"/>
      <c r="CR913" s="5"/>
    </row>
    <row r="914">
      <c r="AL914" s="40"/>
      <c r="AM914" s="5"/>
      <c r="AO914" s="40"/>
      <c r="AP914" s="5"/>
      <c r="AR914" s="40"/>
      <c r="AS914" s="5"/>
      <c r="AU914" s="40"/>
      <c r="AV914" s="5"/>
      <c r="AX914" s="40"/>
      <c r="AY914" s="5"/>
      <c r="BA914" s="40"/>
      <c r="BB914" s="5"/>
      <c r="BD914" s="40"/>
      <c r="BE914" s="5"/>
      <c r="BG914" s="40"/>
      <c r="BH914" s="5"/>
      <c r="BJ914" s="40"/>
      <c r="BK914" s="5"/>
      <c r="BM914" s="40"/>
      <c r="BN914" s="5"/>
      <c r="BP914" s="40"/>
      <c r="BQ914" s="5"/>
      <c r="BS914" s="40"/>
      <c r="BT914" s="5"/>
      <c r="BV914" s="40"/>
      <c r="BW914" s="5"/>
      <c r="BY914" s="40"/>
      <c r="BZ914" s="5"/>
      <c r="CB914" s="40"/>
      <c r="CC914" s="5"/>
      <c r="CE914" s="40"/>
      <c r="CF914" s="5"/>
      <c r="CH914" s="40"/>
      <c r="CI914" s="5"/>
      <c r="CK914" s="40"/>
      <c r="CL914" s="5"/>
      <c r="CN914" s="40"/>
      <c r="CO914" s="5"/>
      <c r="CQ914" s="40"/>
      <c r="CR914" s="5"/>
    </row>
    <row r="915">
      <c r="AL915" s="40"/>
      <c r="AM915" s="5"/>
      <c r="AO915" s="40"/>
      <c r="AP915" s="5"/>
      <c r="AR915" s="40"/>
      <c r="AS915" s="5"/>
      <c r="AU915" s="40"/>
      <c r="AV915" s="5"/>
      <c r="AX915" s="40"/>
      <c r="AY915" s="5"/>
      <c r="BA915" s="40"/>
      <c r="BB915" s="5"/>
      <c r="BD915" s="40"/>
      <c r="BE915" s="5"/>
      <c r="BG915" s="40"/>
      <c r="BH915" s="5"/>
      <c r="BJ915" s="40"/>
      <c r="BK915" s="5"/>
      <c r="BM915" s="40"/>
      <c r="BN915" s="5"/>
      <c r="BP915" s="40"/>
      <c r="BQ915" s="5"/>
      <c r="BS915" s="40"/>
      <c r="BT915" s="5"/>
      <c r="BV915" s="40"/>
      <c r="BW915" s="5"/>
      <c r="BY915" s="40"/>
      <c r="BZ915" s="5"/>
      <c r="CB915" s="40"/>
      <c r="CC915" s="5"/>
      <c r="CE915" s="40"/>
      <c r="CF915" s="5"/>
      <c r="CH915" s="40"/>
      <c r="CI915" s="5"/>
      <c r="CK915" s="40"/>
      <c r="CL915" s="5"/>
      <c r="CN915" s="40"/>
      <c r="CO915" s="5"/>
      <c r="CQ915" s="40"/>
      <c r="CR915" s="5"/>
    </row>
    <row r="916">
      <c r="AL916" s="40"/>
      <c r="AM916" s="5"/>
      <c r="AO916" s="40"/>
      <c r="AP916" s="5"/>
      <c r="AR916" s="40"/>
      <c r="AS916" s="5"/>
      <c r="AU916" s="40"/>
      <c r="AV916" s="5"/>
      <c r="AX916" s="40"/>
      <c r="AY916" s="5"/>
      <c r="BA916" s="40"/>
      <c r="BB916" s="5"/>
      <c r="BD916" s="40"/>
      <c r="BE916" s="5"/>
      <c r="BG916" s="40"/>
      <c r="BH916" s="5"/>
      <c r="BJ916" s="40"/>
      <c r="BK916" s="5"/>
      <c r="BM916" s="40"/>
      <c r="BN916" s="5"/>
      <c r="BP916" s="40"/>
      <c r="BQ916" s="5"/>
      <c r="BS916" s="40"/>
      <c r="BT916" s="5"/>
      <c r="BV916" s="40"/>
      <c r="BW916" s="5"/>
      <c r="BY916" s="40"/>
      <c r="BZ916" s="5"/>
      <c r="CB916" s="40"/>
      <c r="CC916" s="5"/>
      <c r="CE916" s="40"/>
      <c r="CF916" s="5"/>
      <c r="CH916" s="40"/>
      <c r="CI916" s="5"/>
      <c r="CK916" s="40"/>
      <c r="CL916" s="5"/>
      <c r="CN916" s="40"/>
      <c r="CO916" s="5"/>
      <c r="CQ916" s="40"/>
      <c r="CR916" s="5"/>
    </row>
    <row r="917">
      <c r="AL917" s="40"/>
      <c r="AM917" s="5"/>
      <c r="AO917" s="40"/>
      <c r="AP917" s="5"/>
      <c r="AR917" s="40"/>
      <c r="AS917" s="5"/>
      <c r="AU917" s="40"/>
      <c r="AV917" s="5"/>
      <c r="AX917" s="40"/>
      <c r="AY917" s="5"/>
      <c r="BA917" s="40"/>
      <c r="BB917" s="5"/>
      <c r="BD917" s="40"/>
      <c r="BE917" s="5"/>
      <c r="BG917" s="40"/>
      <c r="BH917" s="5"/>
      <c r="BJ917" s="40"/>
      <c r="BK917" s="5"/>
      <c r="BM917" s="40"/>
      <c r="BN917" s="5"/>
      <c r="BP917" s="40"/>
      <c r="BQ917" s="5"/>
      <c r="BS917" s="40"/>
      <c r="BT917" s="5"/>
      <c r="BV917" s="40"/>
      <c r="BW917" s="5"/>
      <c r="BY917" s="40"/>
      <c r="BZ917" s="5"/>
      <c r="CB917" s="40"/>
      <c r="CC917" s="5"/>
      <c r="CE917" s="40"/>
      <c r="CF917" s="5"/>
      <c r="CH917" s="40"/>
      <c r="CI917" s="5"/>
      <c r="CK917" s="40"/>
      <c r="CL917" s="5"/>
      <c r="CN917" s="40"/>
      <c r="CO917" s="5"/>
      <c r="CQ917" s="40"/>
      <c r="CR917" s="5"/>
    </row>
    <row r="918">
      <c r="AL918" s="40"/>
      <c r="AM918" s="5"/>
      <c r="AO918" s="40"/>
      <c r="AP918" s="5"/>
      <c r="AR918" s="40"/>
      <c r="AS918" s="5"/>
      <c r="AU918" s="40"/>
      <c r="AV918" s="5"/>
      <c r="AX918" s="40"/>
      <c r="AY918" s="5"/>
      <c r="BA918" s="40"/>
      <c r="BB918" s="5"/>
      <c r="BD918" s="40"/>
      <c r="BE918" s="5"/>
      <c r="BG918" s="40"/>
      <c r="BH918" s="5"/>
      <c r="BJ918" s="40"/>
      <c r="BK918" s="5"/>
      <c r="BM918" s="40"/>
      <c r="BN918" s="5"/>
      <c r="BP918" s="40"/>
      <c r="BQ918" s="5"/>
      <c r="BS918" s="40"/>
      <c r="BT918" s="5"/>
      <c r="BV918" s="40"/>
      <c r="BW918" s="5"/>
      <c r="BY918" s="40"/>
      <c r="BZ918" s="5"/>
      <c r="CB918" s="40"/>
      <c r="CC918" s="5"/>
      <c r="CE918" s="40"/>
      <c r="CF918" s="5"/>
      <c r="CH918" s="40"/>
      <c r="CI918" s="5"/>
      <c r="CK918" s="40"/>
      <c r="CL918" s="5"/>
      <c r="CN918" s="40"/>
      <c r="CO918" s="5"/>
      <c r="CQ918" s="40"/>
      <c r="CR918" s="5"/>
    </row>
    <row r="919">
      <c r="AL919" s="40"/>
      <c r="AM919" s="5"/>
      <c r="AO919" s="40"/>
      <c r="AP919" s="5"/>
      <c r="AR919" s="40"/>
      <c r="AS919" s="5"/>
      <c r="AU919" s="40"/>
      <c r="AV919" s="5"/>
      <c r="AX919" s="40"/>
      <c r="AY919" s="5"/>
      <c r="BA919" s="40"/>
      <c r="BB919" s="5"/>
      <c r="BD919" s="40"/>
      <c r="BE919" s="5"/>
      <c r="BG919" s="40"/>
      <c r="BH919" s="5"/>
      <c r="BJ919" s="40"/>
      <c r="BK919" s="5"/>
      <c r="BM919" s="40"/>
      <c r="BN919" s="5"/>
      <c r="BP919" s="40"/>
      <c r="BQ919" s="5"/>
      <c r="BS919" s="40"/>
      <c r="BT919" s="5"/>
      <c r="BV919" s="40"/>
      <c r="BW919" s="5"/>
      <c r="BY919" s="40"/>
      <c r="BZ919" s="5"/>
      <c r="CB919" s="40"/>
      <c r="CC919" s="5"/>
      <c r="CE919" s="40"/>
      <c r="CF919" s="5"/>
      <c r="CH919" s="40"/>
      <c r="CI919" s="5"/>
      <c r="CK919" s="40"/>
      <c r="CL919" s="5"/>
      <c r="CN919" s="40"/>
      <c r="CO919" s="5"/>
      <c r="CQ919" s="40"/>
      <c r="CR919" s="5"/>
    </row>
    <row r="920">
      <c r="AL920" s="40"/>
      <c r="AM920" s="5"/>
      <c r="AO920" s="40"/>
      <c r="AP920" s="5"/>
      <c r="AR920" s="40"/>
      <c r="AS920" s="5"/>
      <c r="AU920" s="40"/>
      <c r="AV920" s="5"/>
      <c r="AX920" s="40"/>
      <c r="AY920" s="5"/>
      <c r="BA920" s="40"/>
      <c r="BB920" s="5"/>
      <c r="BD920" s="40"/>
      <c r="BE920" s="5"/>
      <c r="BG920" s="40"/>
      <c r="BH920" s="5"/>
      <c r="BJ920" s="40"/>
      <c r="BK920" s="5"/>
      <c r="BM920" s="40"/>
      <c r="BN920" s="5"/>
      <c r="BP920" s="40"/>
      <c r="BQ920" s="5"/>
      <c r="BS920" s="40"/>
      <c r="BT920" s="5"/>
      <c r="BV920" s="40"/>
      <c r="BW920" s="5"/>
      <c r="BY920" s="40"/>
      <c r="BZ920" s="5"/>
      <c r="CB920" s="40"/>
      <c r="CC920" s="5"/>
      <c r="CE920" s="40"/>
      <c r="CF920" s="5"/>
      <c r="CH920" s="40"/>
      <c r="CI920" s="5"/>
      <c r="CK920" s="40"/>
      <c r="CL920" s="5"/>
      <c r="CN920" s="40"/>
      <c r="CO920" s="5"/>
      <c r="CQ920" s="40"/>
      <c r="CR920" s="5"/>
    </row>
    <row r="921">
      <c r="AL921" s="40"/>
      <c r="AM921" s="5"/>
      <c r="AO921" s="40"/>
      <c r="AP921" s="5"/>
      <c r="AR921" s="40"/>
      <c r="AS921" s="5"/>
      <c r="AU921" s="40"/>
      <c r="AV921" s="5"/>
      <c r="AX921" s="40"/>
      <c r="AY921" s="5"/>
      <c r="BA921" s="40"/>
      <c r="BB921" s="5"/>
      <c r="BD921" s="40"/>
      <c r="BE921" s="5"/>
      <c r="BG921" s="40"/>
      <c r="BH921" s="5"/>
      <c r="BJ921" s="40"/>
      <c r="BK921" s="5"/>
      <c r="BM921" s="40"/>
      <c r="BN921" s="5"/>
      <c r="BP921" s="40"/>
      <c r="BQ921" s="5"/>
      <c r="BS921" s="40"/>
      <c r="BT921" s="5"/>
      <c r="BV921" s="40"/>
      <c r="BW921" s="5"/>
      <c r="BY921" s="40"/>
      <c r="BZ921" s="5"/>
      <c r="CB921" s="40"/>
      <c r="CC921" s="5"/>
      <c r="CE921" s="40"/>
      <c r="CF921" s="5"/>
      <c r="CH921" s="40"/>
      <c r="CI921" s="5"/>
      <c r="CK921" s="40"/>
      <c r="CL921" s="5"/>
      <c r="CN921" s="40"/>
      <c r="CO921" s="5"/>
      <c r="CQ921" s="40"/>
      <c r="CR921" s="5"/>
    </row>
    <row r="922">
      <c r="AL922" s="40"/>
      <c r="AM922" s="5"/>
      <c r="AO922" s="40"/>
      <c r="AP922" s="5"/>
      <c r="AR922" s="40"/>
      <c r="AS922" s="5"/>
      <c r="AU922" s="40"/>
      <c r="AV922" s="5"/>
      <c r="AX922" s="40"/>
      <c r="AY922" s="5"/>
      <c r="BA922" s="40"/>
      <c r="BB922" s="5"/>
      <c r="BD922" s="40"/>
      <c r="BE922" s="5"/>
      <c r="BG922" s="40"/>
      <c r="BH922" s="5"/>
      <c r="BJ922" s="40"/>
      <c r="BK922" s="5"/>
      <c r="BM922" s="40"/>
      <c r="BN922" s="5"/>
      <c r="BP922" s="40"/>
      <c r="BQ922" s="5"/>
      <c r="BS922" s="40"/>
      <c r="BT922" s="5"/>
      <c r="BV922" s="40"/>
      <c r="BW922" s="5"/>
      <c r="BY922" s="40"/>
      <c r="BZ922" s="5"/>
      <c r="CB922" s="40"/>
      <c r="CC922" s="5"/>
      <c r="CE922" s="40"/>
      <c r="CF922" s="5"/>
      <c r="CH922" s="40"/>
      <c r="CI922" s="5"/>
      <c r="CK922" s="40"/>
      <c r="CL922" s="5"/>
      <c r="CN922" s="40"/>
      <c r="CO922" s="5"/>
      <c r="CQ922" s="40"/>
      <c r="CR922" s="5"/>
    </row>
    <row r="923">
      <c r="AL923" s="40"/>
      <c r="AM923" s="5"/>
      <c r="AO923" s="40"/>
      <c r="AP923" s="5"/>
      <c r="AR923" s="40"/>
      <c r="AS923" s="5"/>
      <c r="AU923" s="40"/>
      <c r="AV923" s="5"/>
      <c r="AX923" s="40"/>
      <c r="AY923" s="5"/>
      <c r="BA923" s="40"/>
      <c r="BB923" s="5"/>
      <c r="BD923" s="40"/>
      <c r="BE923" s="5"/>
      <c r="BG923" s="40"/>
      <c r="BH923" s="5"/>
      <c r="BJ923" s="40"/>
      <c r="BK923" s="5"/>
      <c r="BM923" s="40"/>
      <c r="BN923" s="5"/>
      <c r="BP923" s="40"/>
      <c r="BQ923" s="5"/>
      <c r="BS923" s="40"/>
      <c r="BT923" s="5"/>
      <c r="BV923" s="40"/>
      <c r="BW923" s="5"/>
      <c r="BY923" s="40"/>
      <c r="BZ923" s="5"/>
      <c r="CB923" s="40"/>
      <c r="CC923" s="5"/>
      <c r="CE923" s="40"/>
      <c r="CF923" s="5"/>
      <c r="CH923" s="40"/>
      <c r="CI923" s="5"/>
      <c r="CK923" s="40"/>
      <c r="CL923" s="5"/>
      <c r="CN923" s="40"/>
      <c r="CO923" s="5"/>
      <c r="CQ923" s="40"/>
      <c r="CR923" s="5"/>
    </row>
    <row r="924">
      <c r="AL924" s="40"/>
      <c r="AM924" s="5"/>
      <c r="AO924" s="40"/>
      <c r="AP924" s="5"/>
      <c r="AR924" s="40"/>
      <c r="AS924" s="5"/>
      <c r="AU924" s="40"/>
      <c r="AV924" s="5"/>
      <c r="AX924" s="40"/>
      <c r="AY924" s="5"/>
      <c r="BA924" s="40"/>
      <c r="BB924" s="5"/>
      <c r="BD924" s="40"/>
      <c r="BE924" s="5"/>
      <c r="BG924" s="40"/>
      <c r="BH924" s="5"/>
      <c r="BJ924" s="40"/>
      <c r="BK924" s="5"/>
      <c r="BM924" s="40"/>
      <c r="BN924" s="5"/>
      <c r="BP924" s="40"/>
      <c r="BQ924" s="5"/>
      <c r="BS924" s="40"/>
      <c r="BT924" s="5"/>
      <c r="BV924" s="40"/>
      <c r="BW924" s="5"/>
      <c r="BY924" s="40"/>
      <c r="BZ924" s="5"/>
      <c r="CB924" s="40"/>
      <c r="CC924" s="5"/>
      <c r="CE924" s="40"/>
      <c r="CF924" s="5"/>
      <c r="CH924" s="40"/>
      <c r="CI924" s="5"/>
      <c r="CK924" s="40"/>
      <c r="CL924" s="5"/>
      <c r="CN924" s="40"/>
      <c r="CO924" s="5"/>
      <c r="CQ924" s="40"/>
      <c r="CR924" s="5"/>
    </row>
    <row r="925">
      <c r="AL925" s="40"/>
      <c r="AM925" s="5"/>
      <c r="AO925" s="40"/>
      <c r="AP925" s="5"/>
      <c r="AR925" s="40"/>
      <c r="AS925" s="5"/>
      <c r="AU925" s="40"/>
      <c r="AV925" s="5"/>
      <c r="AX925" s="40"/>
      <c r="AY925" s="5"/>
      <c r="BA925" s="40"/>
      <c r="BB925" s="5"/>
      <c r="BD925" s="40"/>
      <c r="BE925" s="5"/>
      <c r="BG925" s="40"/>
      <c r="BH925" s="5"/>
      <c r="BJ925" s="40"/>
      <c r="BK925" s="5"/>
      <c r="BM925" s="40"/>
      <c r="BN925" s="5"/>
      <c r="BP925" s="40"/>
      <c r="BQ925" s="5"/>
      <c r="BS925" s="40"/>
      <c r="BT925" s="5"/>
      <c r="BV925" s="40"/>
      <c r="BW925" s="5"/>
      <c r="BY925" s="40"/>
      <c r="BZ925" s="5"/>
      <c r="CB925" s="40"/>
      <c r="CC925" s="5"/>
      <c r="CE925" s="40"/>
      <c r="CF925" s="5"/>
      <c r="CH925" s="40"/>
      <c r="CI925" s="5"/>
      <c r="CK925" s="40"/>
      <c r="CL925" s="5"/>
      <c r="CN925" s="40"/>
      <c r="CO925" s="5"/>
      <c r="CQ925" s="40"/>
      <c r="CR925" s="5"/>
    </row>
    <row r="926">
      <c r="AL926" s="40"/>
      <c r="AM926" s="5"/>
      <c r="AO926" s="40"/>
      <c r="AP926" s="5"/>
      <c r="AR926" s="40"/>
      <c r="AS926" s="5"/>
      <c r="AU926" s="40"/>
      <c r="AV926" s="5"/>
      <c r="AX926" s="40"/>
      <c r="AY926" s="5"/>
      <c r="BA926" s="40"/>
      <c r="BB926" s="5"/>
      <c r="BD926" s="40"/>
      <c r="BE926" s="5"/>
      <c r="BG926" s="40"/>
      <c r="BH926" s="5"/>
      <c r="BJ926" s="40"/>
      <c r="BK926" s="5"/>
      <c r="BM926" s="40"/>
      <c r="BN926" s="5"/>
      <c r="BP926" s="40"/>
      <c r="BQ926" s="5"/>
      <c r="BS926" s="40"/>
      <c r="BT926" s="5"/>
      <c r="BV926" s="40"/>
      <c r="BW926" s="5"/>
      <c r="BY926" s="40"/>
      <c r="BZ926" s="5"/>
      <c r="CB926" s="40"/>
      <c r="CC926" s="5"/>
      <c r="CE926" s="40"/>
      <c r="CF926" s="5"/>
      <c r="CH926" s="40"/>
      <c r="CI926" s="5"/>
      <c r="CK926" s="40"/>
      <c r="CL926" s="5"/>
      <c r="CN926" s="40"/>
      <c r="CO926" s="5"/>
      <c r="CQ926" s="40"/>
      <c r="CR926" s="5"/>
    </row>
    <row r="927">
      <c r="AL927" s="40"/>
      <c r="AM927" s="5"/>
      <c r="AO927" s="40"/>
      <c r="AP927" s="5"/>
      <c r="AR927" s="40"/>
      <c r="AS927" s="5"/>
      <c r="AU927" s="40"/>
      <c r="AV927" s="5"/>
      <c r="AX927" s="40"/>
      <c r="AY927" s="5"/>
      <c r="BA927" s="40"/>
      <c r="BB927" s="5"/>
      <c r="BD927" s="40"/>
      <c r="BE927" s="5"/>
      <c r="BG927" s="40"/>
      <c r="BH927" s="5"/>
      <c r="BJ927" s="40"/>
      <c r="BK927" s="5"/>
      <c r="BM927" s="40"/>
      <c r="BN927" s="5"/>
      <c r="BP927" s="40"/>
      <c r="BQ927" s="5"/>
      <c r="BS927" s="40"/>
      <c r="BT927" s="5"/>
      <c r="BV927" s="40"/>
      <c r="BW927" s="5"/>
      <c r="BY927" s="40"/>
      <c r="BZ927" s="5"/>
      <c r="CB927" s="40"/>
      <c r="CC927" s="5"/>
      <c r="CE927" s="40"/>
      <c r="CF927" s="5"/>
      <c r="CH927" s="40"/>
      <c r="CI927" s="5"/>
      <c r="CK927" s="40"/>
      <c r="CL927" s="5"/>
      <c r="CN927" s="40"/>
      <c r="CO927" s="5"/>
      <c r="CQ927" s="40"/>
      <c r="CR927" s="5"/>
    </row>
    <row r="928">
      <c r="AL928" s="40"/>
      <c r="AM928" s="5"/>
      <c r="AO928" s="40"/>
      <c r="AP928" s="5"/>
      <c r="AR928" s="40"/>
      <c r="AS928" s="5"/>
      <c r="AU928" s="40"/>
      <c r="AV928" s="5"/>
      <c r="AX928" s="40"/>
      <c r="AY928" s="5"/>
      <c r="BA928" s="40"/>
      <c r="BB928" s="5"/>
      <c r="BD928" s="40"/>
      <c r="BE928" s="5"/>
      <c r="BG928" s="40"/>
      <c r="BH928" s="5"/>
      <c r="BJ928" s="40"/>
      <c r="BK928" s="5"/>
      <c r="BM928" s="40"/>
      <c r="BN928" s="5"/>
      <c r="BP928" s="40"/>
      <c r="BQ928" s="5"/>
      <c r="BS928" s="40"/>
      <c r="BT928" s="5"/>
      <c r="BV928" s="40"/>
      <c r="BW928" s="5"/>
      <c r="BY928" s="40"/>
      <c r="BZ928" s="5"/>
      <c r="CB928" s="40"/>
      <c r="CC928" s="5"/>
      <c r="CE928" s="40"/>
      <c r="CF928" s="5"/>
      <c r="CH928" s="40"/>
      <c r="CI928" s="5"/>
      <c r="CK928" s="40"/>
      <c r="CL928" s="5"/>
      <c r="CN928" s="40"/>
      <c r="CO928" s="5"/>
      <c r="CQ928" s="40"/>
      <c r="CR928" s="5"/>
    </row>
    <row r="929">
      <c r="AL929" s="40"/>
      <c r="AM929" s="5"/>
      <c r="AO929" s="40"/>
      <c r="AP929" s="5"/>
      <c r="AR929" s="40"/>
      <c r="AS929" s="5"/>
      <c r="AU929" s="40"/>
      <c r="AV929" s="5"/>
      <c r="AX929" s="40"/>
      <c r="AY929" s="5"/>
      <c r="BA929" s="40"/>
      <c r="BB929" s="5"/>
      <c r="BD929" s="40"/>
      <c r="BE929" s="5"/>
      <c r="BG929" s="40"/>
      <c r="BH929" s="5"/>
      <c r="BJ929" s="40"/>
      <c r="BK929" s="5"/>
      <c r="BM929" s="40"/>
      <c r="BN929" s="5"/>
      <c r="BP929" s="40"/>
      <c r="BQ929" s="5"/>
      <c r="BS929" s="40"/>
      <c r="BT929" s="5"/>
      <c r="BV929" s="40"/>
      <c r="BW929" s="5"/>
      <c r="BY929" s="40"/>
      <c r="BZ929" s="5"/>
      <c r="CB929" s="40"/>
      <c r="CC929" s="5"/>
      <c r="CE929" s="40"/>
      <c r="CF929" s="5"/>
      <c r="CH929" s="40"/>
      <c r="CI929" s="5"/>
      <c r="CK929" s="40"/>
      <c r="CL929" s="5"/>
      <c r="CN929" s="40"/>
      <c r="CO929" s="5"/>
      <c r="CQ929" s="40"/>
      <c r="CR929" s="5"/>
    </row>
    <row r="930">
      <c r="AL930" s="40"/>
      <c r="AM930" s="5"/>
      <c r="AO930" s="40"/>
      <c r="AP930" s="5"/>
      <c r="AR930" s="40"/>
      <c r="AS930" s="5"/>
      <c r="AU930" s="40"/>
      <c r="AV930" s="5"/>
      <c r="AX930" s="40"/>
      <c r="AY930" s="5"/>
      <c r="BA930" s="40"/>
      <c r="BB930" s="5"/>
      <c r="BD930" s="40"/>
      <c r="BE930" s="5"/>
      <c r="BG930" s="40"/>
      <c r="BH930" s="5"/>
      <c r="BJ930" s="40"/>
      <c r="BK930" s="5"/>
      <c r="BM930" s="40"/>
      <c r="BN930" s="5"/>
      <c r="BP930" s="40"/>
      <c r="BQ930" s="5"/>
      <c r="BS930" s="40"/>
      <c r="BT930" s="5"/>
      <c r="BV930" s="40"/>
      <c r="BW930" s="5"/>
      <c r="BY930" s="40"/>
      <c r="BZ930" s="5"/>
      <c r="CB930" s="40"/>
      <c r="CC930" s="5"/>
      <c r="CE930" s="40"/>
      <c r="CF930" s="5"/>
      <c r="CH930" s="40"/>
      <c r="CI930" s="5"/>
      <c r="CK930" s="40"/>
      <c r="CL930" s="5"/>
      <c r="CN930" s="40"/>
      <c r="CO930" s="5"/>
      <c r="CQ930" s="40"/>
      <c r="CR930" s="5"/>
    </row>
    <row r="931">
      <c r="AL931" s="40"/>
      <c r="AM931" s="5"/>
      <c r="AO931" s="40"/>
      <c r="AP931" s="5"/>
      <c r="AR931" s="40"/>
      <c r="AS931" s="5"/>
      <c r="AU931" s="40"/>
      <c r="AV931" s="5"/>
      <c r="AX931" s="40"/>
      <c r="AY931" s="5"/>
      <c r="BA931" s="40"/>
      <c r="BB931" s="5"/>
      <c r="BD931" s="40"/>
      <c r="BE931" s="5"/>
      <c r="BG931" s="40"/>
      <c r="BH931" s="5"/>
      <c r="BJ931" s="40"/>
      <c r="BK931" s="5"/>
      <c r="BM931" s="40"/>
      <c r="BN931" s="5"/>
      <c r="BP931" s="40"/>
      <c r="BQ931" s="5"/>
      <c r="BS931" s="40"/>
      <c r="BT931" s="5"/>
      <c r="BV931" s="40"/>
      <c r="BW931" s="5"/>
      <c r="BY931" s="40"/>
      <c r="BZ931" s="5"/>
      <c r="CB931" s="40"/>
      <c r="CC931" s="5"/>
      <c r="CE931" s="40"/>
      <c r="CF931" s="5"/>
      <c r="CH931" s="40"/>
      <c r="CI931" s="5"/>
      <c r="CK931" s="40"/>
      <c r="CL931" s="5"/>
      <c r="CN931" s="40"/>
      <c r="CO931" s="5"/>
      <c r="CQ931" s="40"/>
      <c r="CR931" s="5"/>
    </row>
    <row r="932">
      <c r="AL932" s="40"/>
      <c r="AM932" s="5"/>
      <c r="AO932" s="40"/>
      <c r="AP932" s="5"/>
      <c r="AR932" s="40"/>
      <c r="AS932" s="5"/>
      <c r="AU932" s="40"/>
      <c r="AV932" s="5"/>
      <c r="AX932" s="40"/>
      <c r="AY932" s="5"/>
      <c r="BA932" s="40"/>
      <c r="BB932" s="5"/>
      <c r="BD932" s="40"/>
      <c r="BE932" s="5"/>
      <c r="BG932" s="40"/>
      <c r="BH932" s="5"/>
      <c r="BJ932" s="40"/>
      <c r="BK932" s="5"/>
      <c r="BM932" s="40"/>
      <c r="BN932" s="5"/>
      <c r="BP932" s="40"/>
      <c r="BQ932" s="5"/>
      <c r="BS932" s="40"/>
      <c r="BT932" s="5"/>
      <c r="BV932" s="40"/>
      <c r="BW932" s="5"/>
      <c r="BY932" s="40"/>
      <c r="BZ932" s="5"/>
      <c r="CB932" s="40"/>
      <c r="CC932" s="5"/>
      <c r="CE932" s="40"/>
      <c r="CF932" s="5"/>
      <c r="CH932" s="40"/>
      <c r="CI932" s="5"/>
      <c r="CK932" s="40"/>
      <c r="CL932" s="5"/>
      <c r="CN932" s="40"/>
      <c r="CO932" s="5"/>
      <c r="CQ932" s="40"/>
      <c r="CR932" s="5"/>
    </row>
    <row r="933">
      <c r="AL933" s="40"/>
      <c r="AM933" s="5"/>
      <c r="AO933" s="40"/>
      <c r="AP933" s="5"/>
      <c r="AR933" s="40"/>
      <c r="AS933" s="5"/>
      <c r="AU933" s="40"/>
      <c r="AV933" s="5"/>
      <c r="AX933" s="40"/>
      <c r="AY933" s="5"/>
      <c r="BA933" s="40"/>
      <c r="BB933" s="5"/>
      <c r="BD933" s="40"/>
      <c r="BE933" s="5"/>
      <c r="BG933" s="40"/>
      <c r="BH933" s="5"/>
      <c r="BJ933" s="40"/>
      <c r="BK933" s="5"/>
      <c r="BM933" s="40"/>
      <c r="BN933" s="5"/>
      <c r="BP933" s="40"/>
      <c r="BQ933" s="5"/>
      <c r="BS933" s="40"/>
      <c r="BT933" s="5"/>
      <c r="BV933" s="40"/>
      <c r="BW933" s="5"/>
      <c r="BY933" s="40"/>
      <c r="BZ933" s="5"/>
      <c r="CB933" s="40"/>
      <c r="CC933" s="5"/>
      <c r="CE933" s="40"/>
      <c r="CF933" s="5"/>
      <c r="CH933" s="40"/>
      <c r="CI933" s="5"/>
      <c r="CK933" s="40"/>
      <c r="CL933" s="5"/>
      <c r="CN933" s="40"/>
      <c r="CO933" s="5"/>
      <c r="CQ933" s="40"/>
      <c r="CR933" s="5"/>
    </row>
    <row r="934">
      <c r="AL934" s="40"/>
      <c r="AM934" s="5"/>
      <c r="AO934" s="40"/>
      <c r="AP934" s="5"/>
      <c r="AR934" s="40"/>
      <c r="AS934" s="5"/>
      <c r="AU934" s="40"/>
      <c r="AV934" s="5"/>
      <c r="AX934" s="40"/>
      <c r="AY934" s="5"/>
      <c r="BA934" s="40"/>
      <c r="BB934" s="5"/>
      <c r="BD934" s="40"/>
      <c r="BE934" s="5"/>
      <c r="BG934" s="40"/>
      <c r="BH934" s="5"/>
      <c r="BJ934" s="40"/>
      <c r="BK934" s="5"/>
      <c r="BM934" s="40"/>
      <c r="BN934" s="5"/>
      <c r="BP934" s="40"/>
      <c r="BQ934" s="5"/>
      <c r="BS934" s="40"/>
      <c r="BT934" s="5"/>
      <c r="BV934" s="40"/>
      <c r="BW934" s="5"/>
      <c r="BY934" s="40"/>
      <c r="BZ934" s="5"/>
      <c r="CB934" s="40"/>
      <c r="CC934" s="5"/>
      <c r="CE934" s="40"/>
      <c r="CF934" s="5"/>
      <c r="CH934" s="40"/>
      <c r="CI934" s="5"/>
      <c r="CK934" s="40"/>
      <c r="CL934" s="5"/>
      <c r="CN934" s="40"/>
      <c r="CO934" s="5"/>
      <c r="CQ934" s="40"/>
      <c r="CR934" s="5"/>
    </row>
    <row r="935">
      <c r="AL935" s="40"/>
      <c r="AM935" s="5"/>
      <c r="AO935" s="40"/>
      <c r="AP935" s="5"/>
      <c r="AR935" s="40"/>
      <c r="AS935" s="5"/>
      <c r="AU935" s="40"/>
      <c r="AV935" s="5"/>
      <c r="AX935" s="40"/>
      <c r="AY935" s="5"/>
      <c r="BA935" s="40"/>
      <c r="BB935" s="5"/>
      <c r="BD935" s="40"/>
      <c r="BE935" s="5"/>
      <c r="BG935" s="40"/>
      <c r="BH935" s="5"/>
      <c r="BJ935" s="40"/>
      <c r="BK935" s="5"/>
      <c r="BM935" s="40"/>
      <c r="BN935" s="5"/>
      <c r="BP935" s="40"/>
      <c r="BQ935" s="5"/>
      <c r="BS935" s="40"/>
      <c r="BT935" s="5"/>
      <c r="BV935" s="40"/>
      <c r="BW935" s="5"/>
      <c r="BY935" s="40"/>
      <c r="BZ935" s="5"/>
      <c r="CB935" s="40"/>
      <c r="CC935" s="5"/>
      <c r="CE935" s="40"/>
      <c r="CF935" s="5"/>
      <c r="CH935" s="40"/>
      <c r="CI935" s="5"/>
      <c r="CK935" s="40"/>
      <c r="CL935" s="5"/>
      <c r="CN935" s="40"/>
      <c r="CO935" s="5"/>
      <c r="CQ935" s="40"/>
      <c r="CR935" s="5"/>
    </row>
    <row r="936">
      <c r="AL936" s="40"/>
      <c r="AM936" s="5"/>
      <c r="AO936" s="40"/>
      <c r="AP936" s="5"/>
      <c r="AR936" s="40"/>
      <c r="AS936" s="5"/>
      <c r="AU936" s="40"/>
      <c r="AV936" s="5"/>
      <c r="AX936" s="40"/>
      <c r="AY936" s="5"/>
      <c r="BA936" s="40"/>
      <c r="BB936" s="5"/>
      <c r="BD936" s="40"/>
      <c r="BE936" s="5"/>
      <c r="BG936" s="40"/>
      <c r="BH936" s="5"/>
      <c r="BJ936" s="40"/>
      <c r="BK936" s="5"/>
      <c r="BM936" s="40"/>
      <c r="BN936" s="5"/>
      <c r="BP936" s="40"/>
      <c r="BQ936" s="5"/>
      <c r="BS936" s="40"/>
      <c r="BT936" s="5"/>
      <c r="BV936" s="40"/>
      <c r="BW936" s="5"/>
      <c r="BY936" s="40"/>
      <c r="BZ936" s="5"/>
      <c r="CB936" s="40"/>
      <c r="CC936" s="5"/>
      <c r="CE936" s="40"/>
      <c r="CF936" s="5"/>
      <c r="CH936" s="40"/>
      <c r="CI936" s="5"/>
      <c r="CK936" s="40"/>
      <c r="CL936" s="5"/>
      <c r="CN936" s="40"/>
      <c r="CO936" s="5"/>
      <c r="CQ936" s="40"/>
      <c r="CR936" s="5"/>
    </row>
    <row r="937">
      <c r="AL937" s="40"/>
      <c r="AM937" s="5"/>
      <c r="AO937" s="40"/>
      <c r="AP937" s="5"/>
      <c r="AR937" s="40"/>
      <c r="AS937" s="5"/>
      <c r="AU937" s="40"/>
      <c r="AV937" s="5"/>
      <c r="AX937" s="40"/>
      <c r="AY937" s="5"/>
      <c r="BA937" s="40"/>
      <c r="BB937" s="5"/>
      <c r="BD937" s="40"/>
      <c r="BE937" s="5"/>
      <c r="BG937" s="40"/>
      <c r="BH937" s="5"/>
      <c r="BJ937" s="40"/>
      <c r="BK937" s="5"/>
      <c r="BM937" s="40"/>
      <c r="BN937" s="5"/>
      <c r="BP937" s="40"/>
      <c r="BQ937" s="5"/>
      <c r="BS937" s="40"/>
      <c r="BT937" s="5"/>
      <c r="BV937" s="40"/>
      <c r="BW937" s="5"/>
      <c r="BY937" s="40"/>
      <c r="BZ937" s="5"/>
      <c r="CB937" s="40"/>
      <c r="CC937" s="5"/>
      <c r="CE937" s="40"/>
      <c r="CF937" s="5"/>
      <c r="CH937" s="40"/>
      <c r="CI937" s="5"/>
      <c r="CK937" s="40"/>
      <c r="CL937" s="5"/>
      <c r="CN937" s="40"/>
      <c r="CO937" s="5"/>
      <c r="CQ937" s="40"/>
      <c r="CR937" s="5"/>
    </row>
    <row r="938">
      <c r="AL938" s="40"/>
      <c r="AM938" s="5"/>
      <c r="AO938" s="40"/>
      <c r="AP938" s="5"/>
      <c r="AR938" s="40"/>
      <c r="AS938" s="5"/>
      <c r="AU938" s="40"/>
      <c r="AV938" s="5"/>
      <c r="AX938" s="40"/>
      <c r="AY938" s="5"/>
      <c r="BA938" s="40"/>
      <c r="BB938" s="5"/>
      <c r="BD938" s="40"/>
      <c r="BE938" s="5"/>
      <c r="BG938" s="40"/>
      <c r="BH938" s="5"/>
      <c r="BJ938" s="40"/>
      <c r="BK938" s="5"/>
      <c r="BM938" s="40"/>
      <c r="BN938" s="5"/>
      <c r="BP938" s="40"/>
      <c r="BQ938" s="5"/>
      <c r="BS938" s="40"/>
      <c r="BT938" s="5"/>
      <c r="BV938" s="40"/>
      <c r="BW938" s="5"/>
      <c r="BY938" s="40"/>
      <c r="BZ938" s="5"/>
      <c r="CB938" s="40"/>
      <c r="CC938" s="5"/>
      <c r="CE938" s="40"/>
      <c r="CF938" s="5"/>
      <c r="CH938" s="40"/>
      <c r="CI938" s="5"/>
      <c r="CK938" s="40"/>
      <c r="CL938" s="5"/>
      <c r="CN938" s="40"/>
      <c r="CO938" s="5"/>
      <c r="CQ938" s="40"/>
      <c r="CR938" s="5"/>
    </row>
    <row r="939">
      <c r="AL939" s="40"/>
      <c r="AM939" s="5"/>
      <c r="AO939" s="40"/>
      <c r="AP939" s="5"/>
      <c r="AR939" s="40"/>
      <c r="AS939" s="5"/>
      <c r="AU939" s="40"/>
      <c r="AV939" s="5"/>
      <c r="AX939" s="40"/>
      <c r="AY939" s="5"/>
      <c r="BA939" s="40"/>
      <c r="BB939" s="5"/>
      <c r="BD939" s="40"/>
      <c r="BE939" s="5"/>
      <c r="BG939" s="40"/>
      <c r="BH939" s="5"/>
      <c r="BJ939" s="40"/>
      <c r="BK939" s="5"/>
      <c r="BM939" s="40"/>
      <c r="BN939" s="5"/>
      <c r="BP939" s="40"/>
      <c r="BQ939" s="5"/>
      <c r="BS939" s="40"/>
      <c r="BT939" s="5"/>
      <c r="BV939" s="40"/>
      <c r="BW939" s="5"/>
      <c r="BY939" s="40"/>
      <c r="BZ939" s="5"/>
      <c r="CB939" s="40"/>
      <c r="CC939" s="5"/>
      <c r="CE939" s="40"/>
      <c r="CF939" s="5"/>
      <c r="CH939" s="40"/>
      <c r="CI939" s="5"/>
      <c r="CK939" s="40"/>
      <c r="CL939" s="5"/>
      <c r="CN939" s="40"/>
      <c r="CO939" s="5"/>
      <c r="CQ939" s="40"/>
      <c r="CR939" s="5"/>
    </row>
    <row r="940">
      <c r="AL940" s="40"/>
      <c r="AM940" s="5"/>
      <c r="AO940" s="40"/>
      <c r="AP940" s="5"/>
      <c r="AR940" s="40"/>
      <c r="AS940" s="5"/>
      <c r="AU940" s="40"/>
      <c r="AV940" s="5"/>
      <c r="AX940" s="40"/>
      <c r="AY940" s="5"/>
      <c r="BA940" s="40"/>
      <c r="BB940" s="5"/>
      <c r="BD940" s="40"/>
      <c r="BE940" s="5"/>
      <c r="BG940" s="40"/>
      <c r="BH940" s="5"/>
      <c r="BJ940" s="40"/>
      <c r="BK940" s="5"/>
      <c r="BM940" s="40"/>
      <c r="BN940" s="5"/>
      <c r="BP940" s="40"/>
      <c r="BQ940" s="5"/>
      <c r="BS940" s="40"/>
      <c r="BT940" s="5"/>
      <c r="BV940" s="40"/>
      <c r="BW940" s="5"/>
      <c r="BY940" s="40"/>
      <c r="BZ940" s="5"/>
      <c r="CB940" s="40"/>
      <c r="CC940" s="5"/>
      <c r="CE940" s="40"/>
      <c r="CF940" s="5"/>
      <c r="CH940" s="40"/>
      <c r="CI940" s="5"/>
      <c r="CK940" s="40"/>
      <c r="CL940" s="5"/>
      <c r="CN940" s="40"/>
      <c r="CO940" s="5"/>
      <c r="CQ940" s="40"/>
      <c r="CR940" s="5"/>
    </row>
    <row r="941">
      <c r="AL941" s="40"/>
      <c r="AM941" s="5"/>
      <c r="AO941" s="40"/>
      <c r="AP941" s="5"/>
      <c r="AR941" s="40"/>
      <c r="AS941" s="5"/>
      <c r="AU941" s="40"/>
      <c r="AV941" s="5"/>
      <c r="AX941" s="40"/>
      <c r="AY941" s="5"/>
      <c r="BA941" s="40"/>
      <c r="BB941" s="5"/>
      <c r="BD941" s="40"/>
      <c r="BE941" s="5"/>
      <c r="BG941" s="40"/>
      <c r="BH941" s="5"/>
      <c r="BJ941" s="40"/>
      <c r="BK941" s="5"/>
      <c r="BM941" s="40"/>
      <c r="BN941" s="5"/>
      <c r="BP941" s="40"/>
      <c r="BQ941" s="5"/>
      <c r="BS941" s="40"/>
      <c r="BT941" s="5"/>
      <c r="BV941" s="40"/>
      <c r="BW941" s="5"/>
      <c r="BY941" s="40"/>
      <c r="BZ941" s="5"/>
      <c r="CB941" s="40"/>
      <c r="CC941" s="5"/>
      <c r="CE941" s="40"/>
      <c r="CF941" s="5"/>
      <c r="CH941" s="40"/>
      <c r="CI941" s="5"/>
      <c r="CK941" s="40"/>
      <c r="CL941" s="5"/>
      <c r="CN941" s="40"/>
      <c r="CO941" s="5"/>
      <c r="CQ941" s="40"/>
      <c r="CR941" s="5"/>
    </row>
    <row r="942">
      <c r="AL942" s="40"/>
      <c r="AM942" s="5"/>
      <c r="AO942" s="40"/>
      <c r="AP942" s="5"/>
      <c r="AR942" s="40"/>
      <c r="AS942" s="5"/>
      <c r="AU942" s="40"/>
      <c r="AV942" s="5"/>
      <c r="AX942" s="40"/>
      <c r="AY942" s="5"/>
      <c r="BA942" s="40"/>
      <c r="BB942" s="5"/>
      <c r="BD942" s="40"/>
      <c r="BE942" s="5"/>
      <c r="BG942" s="40"/>
      <c r="BH942" s="5"/>
      <c r="BJ942" s="40"/>
      <c r="BK942" s="5"/>
      <c r="BM942" s="40"/>
      <c r="BN942" s="5"/>
      <c r="BP942" s="40"/>
      <c r="BQ942" s="5"/>
      <c r="BS942" s="40"/>
      <c r="BT942" s="5"/>
      <c r="BV942" s="40"/>
      <c r="BW942" s="5"/>
      <c r="BY942" s="40"/>
      <c r="BZ942" s="5"/>
      <c r="CB942" s="40"/>
      <c r="CC942" s="5"/>
      <c r="CE942" s="40"/>
      <c r="CF942" s="5"/>
      <c r="CH942" s="40"/>
      <c r="CI942" s="5"/>
      <c r="CK942" s="40"/>
      <c r="CL942" s="5"/>
      <c r="CN942" s="40"/>
      <c r="CO942" s="5"/>
      <c r="CQ942" s="40"/>
      <c r="CR942" s="5"/>
    </row>
    <row r="943">
      <c r="AL943" s="40"/>
      <c r="AM943" s="5"/>
      <c r="AO943" s="40"/>
      <c r="AP943" s="5"/>
      <c r="AR943" s="40"/>
      <c r="AS943" s="5"/>
      <c r="AU943" s="40"/>
      <c r="AV943" s="5"/>
      <c r="AX943" s="40"/>
      <c r="AY943" s="5"/>
      <c r="BA943" s="40"/>
      <c r="BB943" s="5"/>
      <c r="BD943" s="40"/>
      <c r="BE943" s="5"/>
      <c r="BG943" s="40"/>
      <c r="BH943" s="5"/>
      <c r="BJ943" s="40"/>
      <c r="BK943" s="5"/>
      <c r="BM943" s="40"/>
      <c r="BN943" s="5"/>
      <c r="BP943" s="40"/>
      <c r="BQ943" s="5"/>
      <c r="BS943" s="40"/>
      <c r="BT943" s="5"/>
      <c r="BV943" s="40"/>
      <c r="BW943" s="5"/>
      <c r="BY943" s="40"/>
      <c r="BZ943" s="5"/>
      <c r="CB943" s="40"/>
      <c r="CC943" s="5"/>
      <c r="CE943" s="40"/>
      <c r="CF943" s="5"/>
      <c r="CH943" s="40"/>
      <c r="CI943" s="5"/>
      <c r="CK943" s="40"/>
      <c r="CL943" s="5"/>
      <c r="CN943" s="40"/>
      <c r="CO943" s="5"/>
      <c r="CQ943" s="40"/>
      <c r="CR943" s="5"/>
    </row>
    <row r="944">
      <c r="AL944" s="40"/>
      <c r="AM944" s="5"/>
      <c r="AO944" s="40"/>
      <c r="AP944" s="5"/>
      <c r="AR944" s="40"/>
      <c r="AS944" s="5"/>
      <c r="AU944" s="40"/>
      <c r="AV944" s="5"/>
      <c r="AX944" s="40"/>
      <c r="AY944" s="5"/>
      <c r="BA944" s="40"/>
      <c r="BB944" s="5"/>
      <c r="BD944" s="40"/>
      <c r="BE944" s="5"/>
      <c r="BG944" s="40"/>
      <c r="BH944" s="5"/>
      <c r="BJ944" s="40"/>
      <c r="BK944" s="5"/>
      <c r="BM944" s="40"/>
      <c r="BN944" s="5"/>
      <c r="BP944" s="40"/>
      <c r="BQ944" s="5"/>
      <c r="BS944" s="40"/>
      <c r="BT944" s="5"/>
      <c r="BV944" s="40"/>
      <c r="BW944" s="5"/>
      <c r="BY944" s="40"/>
      <c r="BZ944" s="5"/>
      <c r="CB944" s="40"/>
      <c r="CC944" s="5"/>
      <c r="CE944" s="40"/>
      <c r="CF944" s="5"/>
      <c r="CH944" s="40"/>
      <c r="CI944" s="5"/>
      <c r="CK944" s="40"/>
      <c r="CL944" s="5"/>
      <c r="CN944" s="40"/>
      <c r="CO944" s="5"/>
      <c r="CQ944" s="40"/>
      <c r="CR944" s="5"/>
    </row>
    <row r="945">
      <c r="AL945" s="40"/>
      <c r="AM945" s="5"/>
      <c r="AO945" s="40"/>
      <c r="AP945" s="5"/>
      <c r="AR945" s="40"/>
      <c r="AS945" s="5"/>
      <c r="AU945" s="40"/>
      <c r="AV945" s="5"/>
      <c r="AX945" s="40"/>
      <c r="AY945" s="5"/>
      <c r="BA945" s="40"/>
      <c r="BB945" s="5"/>
      <c r="BD945" s="40"/>
      <c r="BE945" s="5"/>
      <c r="BG945" s="40"/>
      <c r="BH945" s="5"/>
      <c r="BJ945" s="40"/>
      <c r="BK945" s="5"/>
      <c r="BM945" s="40"/>
      <c r="BN945" s="5"/>
      <c r="BP945" s="40"/>
      <c r="BQ945" s="5"/>
      <c r="BS945" s="40"/>
      <c r="BT945" s="5"/>
      <c r="BV945" s="40"/>
      <c r="BW945" s="5"/>
      <c r="BY945" s="40"/>
      <c r="BZ945" s="5"/>
      <c r="CB945" s="40"/>
      <c r="CC945" s="5"/>
      <c r="CE945" s="40"/>
      <c r="CF945" s="5"/>
      <c r="CH945" s="40"/>
      <c r="CI945" s="5"/>
      <c r="CK945" s="40"/>
      <c r="CL945" s="5"/>
      <c r="CN945" s="40"/>
      <c r="CO945" s="5"/>
      <c r="CQ945" s="40"/>
      <c r="CR945" s="5"/>
    </row>
    <row r="946">
      <c r="AL946" s="40"/>
      <c r="AM946" s="5"/>
      <c r="AO946" s="40"/>
      <c r="AP946" s="5"/>
      <c r="AR946" s="40"/>
      <c r="AS946" s="5"/>
      <c r="AU946" s="40"/>
      <c r="AV946" s="5"/>
      <c r="AX946" s="40"/>
      <c r="AY946" s="5"/>
      <c r="BA946" s="40"/>
      <c r="BB946" s="5"/>
      <c r="BD946" s="40"/>
      <c r="BE946" s="5"/>
      <c r="BG946" s="40"/>
      <c r="BH946" s="5"/>
      <c r="BJ946" s="40"/>
      <c r="BK946" s="5"/>
      <c r="BM946" s="40"/>
      <c r="BN946" s="5"/>
      <c r="BP946" s="40"/>
      <c r="BQ946" s="5"/>
      <c r="BS946" s="40"/>
      <c r="BT946" s="5"/>
      <c r="BV946" s="40"/>
      <c r="BW946" s="5"/>
      <c r="BY946" s="40"/>
      <c r="BZ946" s="5"/>
      <c r="CB946" s="40"/>
      <c r="CC946" s="5"/>
      <c r="CE946" s="40"/>
      <c r="CF946" s="5"/>
      <c r="CH946" s="40"/>
      <c r="CI946" s="5"/>
      <c r="CK946" s="40"/>
      <c r="CL946" s="5"/>
      <c r="CN946" s="40"/>
      <c r="CO946" s="5"/>
      <c r="CQ946" s="40"/>
      <c r="CR946" s="5"/>
    </row>
    <row r="947">
      <c r="AL947" s="40"/>
      <c r="AM947" s="5"/>
      <c r="AO947" s="40"/>
      <c r="AP947" s="5"/>
      <c r="AR947" s="40"/>
      <c r="AS947" s="5"/>
      <c r="AU947" s="40"/>
      <c r="AV947" s="5"/>
      <c r="AX947" s="40"/>
      <c r="AY947" s="5"/>
      <c r="BA947" s="40"/>
      <c r="BB947" s="5"/>
      <c r="BD947" s="40"/>
      <c r="BE947" s="5"/>
      <c r="BG947" s="40"/>
      <c r="BH947" s="5"/>
      <c r="BJ947" s="40"/>
      <c r="BK947" s="5"/>
      <c r="BM947" s="40"/>
      <c r="BN947" s="5"/>
      <c r="BP947" s="40"/>
      <c r="BQ947" s="5"/>
      <c r="BS947" s="40"/>
      <c r="BT947" s="5"/>
      <c r="BV947" s="40"/>
      <c r="BW947" s="5"/>
      <c r="BY947" s="40"/>
      <c r="BZ947" s="5"/>
      <c r="CB947" s="40"/>
      <c r="CC947" s="5"/>
      <c r="CE947" s="40"/>
      <c r="CF947" s="5"/>
      <c r="CH947" s="40"/>
      <c r="CI947" s="5"/>
      <c r="CK947" s="40"/>
      <c r="CL947" s="5"/>
      <c r="CN947" s="40"/>
      <c r="CO947" s="5"/>
      <c r="CQ947" s="40"/>
      <c r="CR947" s="5"/>
    </row>
    <row r="948">
      <c r="AL948" s="40"/>
      <c r="AM948" s="5"/>
      <c r="AO948" s="40"/>
      <c r="AP948" s="5"/>
      <c r="AR948" s="40"/>
      <c r="AS948" s="5"/>
      <c r="AU948" s="40"/>
      <c r="AV948" s="5"/>
      <c r="AX948" s="40"/>
      <c r="AY948" s="5"/>
      <c r="BA948" s="40"/>
      <c r="BB948" s="5"/>
      <c r="BD948" s="40"/>
      <c r="BE948" s="5"/>
      <c r="BG948" s="40"/>
      <c r="BH948" s="5"/>
      <c r="BJ948" s="40"/>
      <c r="BK948" s="5"/>
      <c r="BM948" s="40"/>
      <c r="BN948" s="5"/>
      <c r="BP948" s="40"/>
      <c r="BQ948" s="5"/>
      <c r="BS948" s="40"/>
      <c r="BT948" s="5"/>
      <c r="BV948" s="40"/>
      <c r="BW948" s="5"/>
      <c r="BY948" s="40"/>
      <c r="BZ948" s="5"/>
      <c r="CB948" s="40"/>
      <c r="CC948" s="5"/>
      <c r="CE948" s="40"/>
      <c r="CF948" s="5"/>
      <c r="CH948" s="40"/>
      <c r="CI948" s="5"/>
      <c r="CK948" s="40"/>
      <c r="CL948" s="5"/>
      <c r="CN948" s="40"/>
      <c r="CO948" s="5"/>
      <c r="CQ948" s="40"/>
      <c r="CR948" s="5"/>
    </row>
    <row r="949">
      <c r="AL949" s="40"/>
      <c r="AM949" s="5"/>
      <c r="AO949" s="40"/>
      <c r="AP949" s="5"/>
      <c r="AR949" s="40"/>
      <c r="AS949" s="5"/>
      <c r="AU949" s="40"/>
      <c r="AV949" s="5"/>
      <c r="AX949" s="40"/>
      <c r="AY949" s="5"/>
      <c r="BA949" s="40"/>
      <c r="BB949" s="5"/>
      <c r="BD949" s="40"/>
      <c r="BE949" s="5"/>
      <c r="BG949" s="40"/>
      <c r="BH949" s="5"/>
      <c r="BJ949" s="40"/>
      <c r="BK949" s="5"/>
      <c r="BM949" s="40"/>
      <c r="BN949" s="5"/>
      <c r="BP949" s="40"/>
      <c r="BQ949" s="5"/>
      <c r="BS949" s="40"/>
      <c r="BT949" s="5"/>
      <c r="BV949" s="40"/>
      <c r="BW949" s="5"/>
      <c r="BY949" s="40"/>
      <c r="BZ949" s="5"/>
      <c r="CB949" s="40"/>
      <c r="CC949" s="5"/>
      <c r="CE949" s="40"/>
      <c r="CF949" s="5"/>
      <c r="CH949" s="40"/>
      <c r="CI949" s="5"/>
      <c r="CK949" s="40"/>
      <c r="CL949" s="5"/>
      <c r="CN949" s="40"/>
      <c r="CO949" s="5"/>
      <c r="CQ949" s="40"/>
      <c r="CR949" s="5"/>
    </row>
    <row r="950">
      <c r="AL950" s="40"/>
      <c r="AM950" s="5"/>
      <c r="AO950" s="40"/>
      <c r="AP950" s="5"/>
      <c r="AR950" s="40"/>
      <c r="AS950" s="5"/>
      <c r="AU950" s="40"/>
      <c r="AV950" s="5"/>
      <c r="AX950" s="40"/>
      <c r="AY950" s="5"/>
      <c r="BA950" s="40"/>
      <c r="BB950" s="5"/>
      <c r="BD950" s="40"/>
      <c r="BE950" s="5"/>
      <c r="BG950" s="40"/>
      <c r="BH950" s="5"/>
      <c r="BJ950" s="40"/>
      <c r="BK950" s="5"/>
      <c r="BM950" s="40"/>
      <c r="BN950" s="5"/>
      <c r="BP950" s="40"/>
      <c r="BQ950" s="5"/>
      <c r="BS950" s="40"/>
      <c r="BT950" s="5"/>
      <c r="BV950" s="40"/>
      <c r="BW950" s="5"/>
      <c r="BY950" s="40"/>
      <c r="BZ950" s="5"/>
      <c r="CB950" s="40"/>
      <c r="CC950" s="5"/>
      <c r="CE950" s="40"/>
      <c r="CF950" s="5"/>
      <c r="CH950" s="40"/>
      <c r="CI950" s="5"/>
      <c r="CK950" s="40"/>
      <c r="CL950" s="5"/>
      <c r="CN950" s="40"/>
      <c r="CO950" s="5"/>
      <c r="CQ950" s="40"/>
      <c r="CR950" s="5"/>
    </row>
    <row r="951">
      <c r="AL951" s="40"/>
      <c r="AM951" s="5"/>
      <c r="AO951" s="40"/>
      <c r="AP951" s="5"/>
      <c r="AR951" s="40"/>
      <c r="AS951" s="5"/>
      <c r="AU951" s="40"/>
      <c r="AV951" s="5"/>
      <c r="AX951" s="40"/>
      <c r="AY951" s="5"/>
      <c r="BA951" s="40"/>
      <c r="BB951" s="5"/>
      <c r="BD951" s="40"/>
      <c r="BE951" s="5"/>
      <c r="BG951" s="40"/>
      <c r="BH951" s="5"/>
      <c r="BJ951" s="40"/>
      <c r="BK951" s="5"/>
      <c r="BM951" s="40"/>
      <c r="BN951" s="5"/>
      <c r="BP951" s="40"/>
      <c r="BQ951" s="5"/>
      <c r="BS951" s="40"/>
      <c r="BT951" s="5"/>
      <c r="BV951" s="40"/>
      <c r="BW951" s="5"/>
      <c r="BY951" s="40"/>
      <c r="BZ951" s="5"/>
      <c r="CB951" s="40"/>
      <c r="CC951" s="5"/>
      <c r="CE951" s="40"/>
      <c r="CF951" s="5"/>
      <c r="CH951" s="40"/>
      <c r="CI951" s="5"/>
      <c r="CK951" s="40"/>
      <c r="CL951" s="5"/>
      <c r="CN951" s="40"/>
      <c r="CO951" s="5"/>
      <c r="CQ951" s="40"/>
      <c r="CR951" s="5"/>
    </row>
    <row r="952">
      <c r="AL952" s="40"/>
      <c r="AM952" s="5"/>
      <c r="AO952" s="40"/>
      <c r="AP952" s="5"/>
      <c r="AR952" s="40"/>
      <c r="AS952" s="5"/>
      <c r="AU952" s="40"/>
      <c r="AV952" s="5"/>
      <c r="AX952" s="40"/>
      <c r="AY952" s="5"/>
      <c r="BA952" s="40"/>
      <c r="BB952" s="5"/>
      <c r="BD952" s="40"/>
      <c r="BE952" s="5"/>
      <c r="BG952" s="40"/>
      <c r="BH952" s="5"/>
      <c r="BJ952" s="40"/>
      <c r="BK952" s="5"/>
      <c r="BM952" s="40"/>
      <c r="BN952" s="5"/>
      <c r="BP952" s="40"/>
      <c r="BQ952" s="5"/>
      <c r="BS952" s="40"/>
      <c r="BT952" s="5"/>
      <c r="BV952" s="40"/>
      <c r="BW952" s="5"/>
      <c r="BY952" s="40"/>
      <c r="BZ952" s="5"/>
      <c r="CB952" s="40"/>
      <c r="CC952" s="5"/>
      <c r="CE952" s="40"/>
      <c r="CF952" s="5"/>
      <c r="CH952" s="40"/>
      <c r="CI952" s="5"/>
      <c r="CK952" s="40"/>
      <c r="CL952" s="5"/>
      <c r="CN952" s="40"/>
      <c r="CO952" s="5"/>
      <c r="CQ952" s="40"/>
      <c r="CR952" s="5"/>
    </row>
  </sheetData>
  <mergeCells count="36">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B18:D18"/>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6" width="15.38"/>
  </cols>
  <sheetData>
    <row r="1">
      <c r="A1" s="1" t="s">
        <v>75</v>
      </c>
      <c r="B1" s="1" t="s">
        <v>76</v>
      </c>
      <c r="C1" s="1" t="s">
        <v>77</v>
      </c>
      <c r="D1" s="1" t="s">
        <v>78</v>
      </c>
      <c r="E1" s="1" t="s">
        <v>79</v>
      </c>
      <c r="F1" s="1" t="s">
        <v>80</v>
      </c>
      <c r="G1" s="1"/>
      <c r="H1" s="1"/>
      <c r="I1" s="1"/>
    </row>
    <row r="2">
      <c r="A2" s="44">
        <v>0.0</v>
      </c>
      <c r="B2" s="44">
        <v>1.624107647E9</v>
      </c>
      <c r="C2" s="40">
        <f>IFERROR(__xludf.DUMMYFUNCTION("INDEX(SPLIT(B2, char(10)), 0, 1)/86400+date(1970,1,1)"),44366.54221064815)</f>
        <v>44366.54221</v>
      </c>
      <c r="D2" s="44" t="s">
        <v>136</v>
      </c>
      <c r="E2" s="44" t="s">
        <v>977</v>
      </c>
      <c r="F2" s="44" t="s">
        <v>978</v>
      </c>
    </row>
    <row r="3">
      <c r="A3" s="44">
        <v>1.0</v>
      </c>
      <c r="B3" s="44">
        <v>1.624108225E9</v>
      </c>
      <c r="C3" s="40">
        <f>IFERROR(__xludf.DUMMYFUNCTION("INDEX(SPLIT(B3, char(10)), 0, 1)/86400+date(1970,1,1)"),44366.54890046296)</f>
        <v>44366.5489</v>
      </c>
      <c r="D3" s="44" t="s">
        <v>128</v>
      </c>
      <c r="E3" s="44" t="s">
        <v>979</v>
      </c>
      <c r="F3" s="44" t="s">
        <v>980</v>
      </c>
    </row>
    <row r="4">
      <c r="A4" s="44">
        <v>2.0</v>
      </c>
      <c r="B4" s="44">
        <v>1.624108426E9</v>
      </c>
      <c r="C4" s="40">
        <f>IFERROR(__xludf.DUMMYFUNCTION("INDEX(SPLIT(B4, char(10)), 0, 1)/86400+date(1970,1,1)"),44366.55122685185)</f>
        <v>44366.55123</v>
      </c>
      <c r="D4" s="44" t="s">
        <v>93</v>
      </c>
      <c r="E4" s="44" t="s">
        <v>981</v>
      </c>
      <c r="F4" s="44" t="s">
        <v>982</v>
      </c>
    </row>
    <row r="5">
      <c r="A5" s="44">
        <v>2.0</v>
      </c>
      <c r="B5" s="44">
        <v>1.624108438E9</v>
      </c>
      <c r="C5" s="40">
        <f>IFERROR(__xludf.DUMMYFUNCTION("INDEX(SPLIT(B5, char(10)), 0, 1)/86400+date(1970,1,1)"),44366.55136574074)</f>
        <v>44366.55137</v>
      </c>
      <c r="D5" s="44" t="s">
        <v>174</v>
      </c>
      <c r="E5" s="44" t="s">
        <v>175</v>
      </c>
      <c r="F5" s="44" t="s">
        <v>983</v>
      </c>
    </row>
    <row r="6">
      <c r="A6" s="44">
        <v>3.0</v>
      </c>
      <c r="B6" s="44">
        <v>1.624108555E9</v>
      </c>
      <c r="C6" s="40">
        <f>IFERROR(__xludf.DUMMYFUNCTION("INDEX(SPLIT(B6, char(10)), 0, 1)/86400+date(1970,1,1)"),44366.552719907406)</f>
        <v>44366.55272</v>
      </c>
      <c r="D6" s="44" t="s">
        <v>90</v>
      </c>
      <c r="E6" s="44" t="s">
        <v>984</v>
      </c>
      <c r="F6" s="44" t="s">
        <v>985</v>
      </c>
    </row>
    <row r="7">
      <c r="A7" s="44">
        <v>3.0</v>
      </c>
      <c r="B7" s="44">
        <v>1.624108556E9</v>
      </c>
      <c r="C7" s="40">
        <f>IFERROR(__xludf.DUMMYFUNCTION("INDEX(SPLIT(B7, char(10)), 0, 1)/86400+date(1970,1,1)"),44366.55273148148)</f>
        <v>44366.55273</v>
      </c>
      <c r="D7" s="44" t="s">
        <v>103</v>
      </c>
      <c r="E7" s="44" t="s">
        <v>986</v>
      </c>
      <c r="F7" s="44" t="s">
        <v>987</v>
      </c>
    </row>
    <row r="8">
      <c r="A8" s="44">
        <v>3.0</v>
      </c>
      <c r="B8" s="44">
        <v>1.624108579E9</v>
      </c>
      <c r="C8" s="40">
        <f>IFERROR(__xludf.DUMMYFUNCTION("INDEX(SPLIT(B8, char(10)), 0, 1)/86400+date(1970,1,1)"),44366.55299768518)</f>
        <v>44366.553</v>
      </c>
      <c r="D8" s="44" t="s">
        <v>174</v>
      </c>
      <c r="E8" s="44" t="s">
        <v>988</v>
      </c>
      <c r="F8" s="44" t="s">
        <v>989</v>
      </c>
    </row>
    <row r="9">
      <c r="A9" s="44">
        <v>3.0</v>
      </c>
      <c r="B9" s="44">
        <v>1.624108636E9</v>
      </c>
      <c r="C9" s="40">
        <f>IFERROR(__xludf.DUMMYFUNCTION("INDEX(SPLIT(B9, char(10)), 0, 1)/86400+date(1970,1,1)"),44366.55365740741)</f>
        <v>44366.55366</v>
      </c>
      <c r="D9" s="44" t="s">
        <v>93</v>
      </c>
      <c r="E9" s="44" t="s">
        <v>990</v>
      </c>
      <c r="F9" s="44" t="s">
        <v>991</v>
      </c>
    </row>
    <row r="10">
      <c r="A10" s="44">
        <v>4.0</v>
      </c>
      <c r="B10" s="44">
        <v>1.624108657E9</v>
      </c>
      <c r="C10" s="40">
        <f>IFERROR(__xludf.DUMMYFUNCTION("INDEX(SPLIT(B10, char(10)), 0, 1)/86400+date(1970,1,1)"),44366.55390046297)</f>
        <v>44366.5539</v>
      </c>
      <c r="D10" s="44" t="s">
        <v>131</v>
      </c>
      <c r="E10" s="44" t="s">
        <v>992</v>
      </c>
      <c r="F10" s="44" t="s">
        <v>993</v>
      </c>
    </row>
    <row r="11">
      <c r="A11" s="44">
        <v>5.0</v>
      </c>
      <c r="B11" s="44">
        <v>1.624109207E9</v>
      </c>
      <c r="C11" s="40">
        <f>IFERROR(__xludf.DUMMYFUNCTION("INDEX(SPLIT(B11, char(10)), 0, 1)/86400+date(1970,1,1)"),44366.560266203705)</f>
        <v>44366.56027</v>
      </c>
      <c r="D11" s="44" t="s">
        <v>90</v>
      </c>
      <c r="E11" s="44" t="s">
        <v>994</v>
      </c>
      <c r="F11" s="44" t="s">
        <v>995</v>
      </c>
    </row>
    <row r="12">
      <c r="A12" s="44">
        <v>5.0</v>
      </c>
      <c r="B12" s="44">
        <v>1.624109219E9</v>
      </c>
      <c r="C12" s="40">
        <f>IFERROR(__xludf.DUMMYFUNCTION("INDEX(SPLIT(B12, char(10)), 0, 1)/86400+date(1970,1,1)"),44366.56040509259)</f>
        <v>44366.56041</v>
      </c>
      <c r="D12" s="44" t="s">
        <v>136</v>
      </c>
      <c r="E12" s="44" t="s">
        <v>996</v>
      </c>
      <c r="F12" s="44" t="s">
        <v>997</v>
      </c>
    </row>
    <row r="13">
      <c r="A13" s="44">
        <v>5.0</v>
      </c>
      <c r="B13" s="44">
        <v>1.624109231E9</v>
      </c>
      <c r="C13" s="40">
        <f>IFERROR(__xludf.DUMMYFUNCTION("INDEX(SPLIT(B13, char(10)), 0, 1)/86400+date(1970,1,1)"),44366.56054398148)</f>
        <v>44366.56054</v>
      </c>
      <c r="D13" s="44" t="s">
        <v>131</v>
      </c>
      <c r="E13" s="44" t="s">
        <v>998</v>
      </c>
      <c r="F13" s="44" t="s">
        <v>999</v>
      </c>
    </row>
    <row r="14">
      <c r="A14" s="44">
        <v>6.0</v>
      </c>
      <c r="B14" s="44">
        <v>1.624109441E9</v>
      </c>
      <c r="C14" s="40">
        <f>IFERROR(__xludf.DUMMYFUNCTION("INDEX(SPLIT(B14, char(10)), 0, 1)/86400+date(1970,1,1)"),44366.56297453704)</f>
        <v>44366.56297</v>
      </c>
      <c r="D14" s="44" t="s">
        <v>93</v>
      </c>
      <c r="E14" s="44" t="s">
        <v>1000</v>
      </c>
      <c r="F14" s="44" t="s">
        <v>1001</v>
      </c>
    </row>
    <row r="15">
      <c r="A15" s="44">
        <v>6.0</v>
      </c>
      <c r="B15" s="44">
        <v>1.624109462E9</v>
      </c>
      <c r="C15" s="40">
        <f>IFERROR(__xludf.DUMMYFUNCTION("INDEX(SPLIT(B15, char(10)), 0, 1)/86400+date(1970,1,1)"),44366.56321759259)</f>
        <v>44366.56322</v>
      </c>
      <c r="D15" s="44" t="s">
        <v>131</v>
      </c>
      <c r="E15" s="44" t="s">
        <v>260</v>
      </c>
      <c r="F15" s="44" t="s">
        <v>1002</v>
      </c>
    </row>
    <row r="16">
      <c r="A16" s="44">
        <v>6.0</v>
      </c>
      <c r="B16" s="44">
        <v>1.624109467E9</v>
      </c>
      <c r="C16" s="40">
        <f>IFERROR(__xludf.DUMMYFUNCTION("INDEX(SPLIT(B16, char(10)), 0, 1)/86400+date(1970,1,1)"),44366.56327546296)</f>
        <v>44366.56328</v>
      </c>
      <c r="D16" s="44" t="s">
        <v>103</v>
      </c>
      <c r="E16" s="44" t="s">
        <v>992</v>
      </c>
      <c r="F16" s="44" t="s">
        <v>1003</v>
      </c>
    </row>
    <row r="17">
      <c r="A17" s="44">
        <v>6.0</v>
      </c>
      <c r="B17" s="44">
        <v>1.624109488E9</v>
      </c>
      <c r="C17" s="40">
        <f>IFERROR(__xludf.DUMMYFUNCTION("INDEX(SPLIT(B17, char(10)), 0, 1)/86400+date(1970,1,1)"),44366.563518518524)</f>
        <v>44366.56352</v>
      </c>
      <c r="D17" s="44" t="s">
        <v>96</v>
      </c>
      <c r="E17" s="44" t="s">
        <v>1004</v>
      </c>
      <c r="F17" s="44" t="s">
        <v>1005</v>
      </c>
    </row>
    <row r="18">
      <c r="A18" s="44">
        <v>6.0</v>
      </c>
      <c r="B18" s="44">
        <v>1.624109492E9</v>
      </c>
      <c r="C18" s="40">
        <f>IFERROR(__xludf.DUMMYFUNCTION("INDEX(SPLIT(B18, char(10)), 0, 1)/86400+date(1970,1,1)"),44366.563564814816)</f>
        <v>44366.56356</v>
      </c>
      <c r="D18" s="44" t="s">
        <v>151</v>
      </c>
      <c r="E18" s="44" t="s">
        <v>1006</v>
      </c>
      <c r="F18" s="44" t="s">
        <v>1007</v>
      </c>
    </row>
    <row r="19">
      <c r="A19" s="44">
        <v>6.0</v>
      </c>
      <c r="B19" s="44">
        <v>1.624109516E9</v>
      </c>
      <c r="C19" s="40">
        <f>IFERROR(__xludf.DUMMYFUNCTION("INDEX(SPLIT(B19, char(10)), 0, 1)/86400+date(1970,1,1)"),44366.56384259259)</f>
        <v>44366.56384</v>
      </c>
      <c r="D19" s="44" t="s">
        <v>90</v>
      </c>
      <c r="E19" s="44" t="s">
        <v>1008</v>
      </c>
      <c r="F19" s="44" t="s">
        <v>1009</v>
      </c>
    </row>
    <row r="20">
      <c r="A20" s="44">
        <v>7.0</v>
      </c>
      <c r="B20" s="44">
        <v>1.62410954E9</v>
      </c>
      <c r="C20" s="40">
        <f>IFERROR(__xludf.DUMMYFUNCTION("INDEX(SPLIT(B20, char(10)), 0, 1)/86400+date(1970,1,1)"),44366.56412037037)</f>
        <v>44366.56412</v>
      </c>
      <c r="D20" s="44" t="s">
        <v>81</v>
      </c>
      <c r="E20" s="44" t="s">
        <v>1010</v>
      </c>
      <c r="F20" s="44" t="s">
        <v>1011</v>
      </c>
    </row>
    <row r="21">
      <c r="A21" s="44">
        <v>7.0</v>
      </c>
      <c r="B21" s="44">
        <v>1.624109546E9</v>
      </c>
      <c r="C21" s="40">
        <f>IFERROR(__xludf.DUMMYFUNCTION("INDEX(SPLIT(B21, char(10)), 0, 1)/86400+date(1970,1,1)"),44366.56418981482)</f>
        <v>44366.56419</v>
      </c>
      <c r="D21" s="44" t="s">
        <v>136</v>
      </c>
      <c r="E21" s="44" t="s">
        <v>1012</v>
      </c>
      <c r="F21" s="44" t="s">
        <v>1013</v>
      </c>
    </row>
    <row r="22">
      <c r="A22" s="44">
        <v>8.0</v>
      </c>
      <c r="B22" s="44">
        <v>1.624109755E9</v>
      </c>
      <c r="C22" s="40">
        <f>IFERROR(__xludf.DUMMYFUNCTION("INDEX(SPLIT(B22, char(10)), 0, 1)/86400+date(1970,1,1)"),44366.566608796296)</f>
        <v>44366.56661</v>
      </c>
      <c r="D22" s="44" t="s">
        <v>81</v>
      </c>
      <c r="E22" s="44" t="s">
        <v>1014</v>
      </c>
      <c r="F22" s="44" t="s">
        <v>1015</v>
      </c>
    </row>
    <row r="23">
      <c r="A23" s="44">
        <v>8.0</v>
      </c>
      <c r="B23" s="44">
        <v>1.62410981E9</v>
      </c>
      <c r="C23" s="40">
        <f>IFERROR(__xludf.DUMMYFUNCTION("INDEX(SPLIT(B23, char(10)), 0, 1)/86400+date(1970,1,1)"),44366.567245370374)</f>
        <v>44366.56725</v>
      </c>
      <c r="D23" s="44" t="s">
        <v>103</v>
      </c>
      <c r="E23" s="44" t="s">
        <v>1016</v>
      </c>
      <c r="F23" s="44" t="s">
        <v>1017</v>
      </c>
    </row>
    <row r="24">
      <c r="A24" s="44">
        <v>8.0</v>
      </c>
      <c r="B24" s="44">
        <v>1.62410981E9</v>
      </c>
      <c r="C24" s="40">
        <f>IFERROR(__xludf.DUMMYFUNCTION("INDEX(SPLIT(B24, char(10)), 0, 1)/86400+date(1970,1,1)"),44366.567245370374)</f>
        <v>44366.56725</v>
      </c>
      <c r="D24" s="44" t="s">
        <v>151</v>
      </c>
      <c r="E24" s="44" t="s">
        <v>1018</v>
      </c>
      <c r="F24" s="44" t="s">
        <v>1019</v>
      </c>
    </row>
    <row r="25">
      <c r="A25" s="44">
        <v>9.0</v>
      </c>
      <c r="B25" s="44">
        <v>1.624109911E9</v>
      </c>
      <c r="C25" s="40">
        <f>IFERROR(__xludf.DUMMYFUNCTION("INDEX(SPLIT(B25, char(10)), 0, 1)/86400+date(1970,1,1)"),44366.56841435185)</f>
        <v>44366.56841</v>
      </c>
      <c r="D25" s="44" t="s">
        <v>103</v>
      </c>
      <c r="E25" s="44" t="s">
        <v>698</v>
      </c>
      <c r="F25" s="44" t="s">
        <v>1020</v>
      </c>
    </row>
    <row r="26">
      <c r="A26" s="44">
        <v>10.0</v>
      </c>
      <c r="B26" s="44">
        <v>1.624110206E9</v>
      </c>
      <c r="C26" s="40">
        <f>IFERROR(__xludf.DUMMYFUNCTION("INDEX(SPLIT(B26, char(10)), 0, 1)/86400+date(1970,1,1)"),44366.5718287037)</f>
        <v>44366.57183</v>
      </c>
      <c r="D26" s="44" t="s">
        <v>81</v>
      </c>
      <c r="E26" s="44" t="s">
        <v>1021</v>
      </c>
      <c r="F26" s="44" t="s">
        <v>1022</v>
      </c>
    </row>
    <row r="27">
      <c r="A27" s="44">
        <v>11.0</v>
      </c>
      <c r="B27" s="44">
        <v>1.624110398E9</v>
      </c>
      <c r="C27" s="40">
        <f>IFERROR(__xludf.DUMMYFUNCTION("INDEX(SPLIT(B27, char(10)), 0, 1)/86400+date(1970,1,1)"),44366.57405092593)</f>
        <v>44366.57405</v>
      </c>
      <c r="D27" s="44" t="s">
        <v>96</v>
      </c>
      <c r="E27" s="44" t="s">
        <v>583</v>
      </c>
      <c r="F27" s="44" t="s">
        <v>1023</v>
      </c>
    </row>
    <row r="28">
      <c r="A28" s="44">
        <v>11.0</v>
      </c>
      <c r="B28" s="44">
        <v>1.624110424E9</v>
      </c>
      <c r="C28" s="40">
        <f>IFERROR(__xludf.DUMMYFUNCTION("INDEX(SPLIT(B28, char(10)), 0, 1)/86400+date(1970,1,1)"),44366.57435185185)</f>
        <v>44366.57435</v>
      </c>
      <c r="D28" s="44" t="s">
        <v>90</v>
      </c>
      <c r="E28" s="44" t="s">
        <v>583</v>
      </c>
      <c r="F28" s="44" t="s">
        <v>1024</v>
      </c>
    </row>
    <row r="29">
      <c r="A29" s="44">
        <v>11.0</v>
      </c>
      <c r="B29" s="44">
        <v>1.624110429E9</v>
      </c>
      <c r="C29" s="40">
        <f>IFERROR(__xludf.DUMMYFUNCTION("INDEX(SPLIT(B29, char(10)), 0, 1)/86400+date(1970,1,1)"),44366.57440972222)</f>
        <v>44366.57441</v>
      </c>
      <c r="D29" s="44" t="s">
        <v>81</v>
      </c>
      <c r="E29" s="44" t="s">
        <v>1025</v>
      </c>
      <c r="F29" s="44" t="s">
        <v>1026</v>
      </c>
    </row>
    <row r="30">
      <c r="A30" s="44">
        <v>11.0</v>
      </c>
      <c r="B30" s="44">
        <v>1.624110438E9</v>
      </c>
      <c r="C30" s="40">
        <f>IFERROR(__xludf.DUMMYFUNCTION("INDEX(SPLIT(B30, char(10)), 0, 1)/86400+date(1970,1,1)"),44366.57451388889)</f>
        <v>44366.57451</v>
      </c>
      <c r="D30" s="44" t="s">
        <v>131</v>
      </c>
      <c r="E30" s="44" t="s">
        <v>1027</v>
      </c>
      <c r="F30" s="44" t="s">
        <v>1028</v>
      </c>
    </row>
    <row r="31">
      <c r="A31" s="44">
        <v>11.0</v>
      </c>
      <c r="B31" s="44">
        <v>1.624110453E9</v>
      </c>
      <c r="C31" s="40">
        <f>IFERROR(__xludf.DUMMYFUNCTION("INDEX(SPLIT(B31, char(10)), 0, 1)/86400+date(1970,1,1)"),44366.574687500004)</f>
        <v>44366.57469</v>
      </c>
      <c r="D31" s="44" t="s">
        <v>151</v>
      </c>
      <c r="E31" s="44" t="s">
        <v>1029</v>
      </c>
      <c r="F31" s="44" t="s">
        <v>1030</v>
      </c>
    </row>
    <row r="32">
      <c r="A32" s="44">
        <v>11.0</v>
      </c>
      <c r="B32" s="44">
        <v>1.624110487E9</v>
      </c>
      <c r="C32" s="40">
        <f>IFERROR(__xludf.DUMMYFUNCTION("INDEX(SPLIT(B32, char(10)), 0, 1)/86400+date(1970,1,1)"),44366.57508101852)</f>
        <v>44366.57508</v>
      </c>
      <c r="D32" s="44" t="s">
        <v>103</v>
      </c>
      <c r="E32" s="44" t="s">
        <v>1031</v>
      </c>
      <c r="F32" s="44" t="s">
        <v>1032</v>
      </c>
    </row>
    <row r="33">
      <c r="A33" s="44">
        <v>12.0</v>
      </c>
      <c r="B33" s="44">
        <v>1.624110489E9</v>
      </c>
      <c r="C33" s="40">
        <f>IFERROR(__xludf.DUMMYFUNCTION("INDEX(SPLIT(B33, char(10)), 0, 1)/86400+date(1970,1,1)"),44366.575104166666)</f>
        <v>44366.5751</v>
      </c>
      <c r="D33" s="44" t="s">
        <v>174</v>
      </c>
      <c r="E33" s="44" t="s">
        <v>1033</v>
      </c>
      <c r="F33" s="44" t="s">
        <v>1034</v>
      </c>
    </row>
    <row r="34">
      <c r="A34" s="44">
        <v>12.0</v>
      </c>
      <c r="B34" s="44">
        <v>1.624110497E9</v>
      </c>
      <c r="C34" s="40">
        <f>IFERROR(__xludf.DUMMYFUNCTION("INDEX(SPLIT(B34, char(10)), 0, 1)/86400+date(1970,1,1)"),44366.57519675926)</f>
        <v>44366.5752</v>
      </c>
      <c r="D34" s="44" t="s">
        <v>370</v>
      </c>
      <c r="E34" s="44" t="s">
        <v>1035</v>
      </c>
      <c r="F34" s="44" t="s">
        <v>1036</v>
      </c>
    </row>
    <row r="35">
      <c r="A35" s="44">
        <v>12.0</v>
      </c>
      <c r="B35" s="44">
        <v>1.624110567E9</v>
      </c>
      <c r="C35" s="40">
        <f>IFERROR(__xludf.DUMMYFUNCTION("INDEX(SPLIT(B35, char(10)), 0, 1)/86400+date(1970,1,1)"),44366.576006944444)</f>
        <v>44366.57601</v>
      </c>
      <c r="D35" s="44" t="s">
        <v>81</v>
      </c>
      <c r="E35" s="44" t="s">
        <v>1037</v>
      </c>
      <c r="F35" s="44" t="s">
        <v>1038</v>
      </c>
    </row>
    <row r="36">
      <c r="A36" s="44">
        <v>12.0</v>
      </c>
      <c r="B36" s="44">
        <v>1.624110574E9</v>
      </c>
      <c r="C36" s="40">
        <f>IFERROR(__xludf.DUMMYFUNCTION("INDEX(SPLIT(B36, char(10)), 0, 1)/86400+date(1970,1,1)"),44366.57608796297)</f>
        <v>44366.57609</v>
      </c>
      <c r="D36" s="44" t="s">
        <v>151</v>
      </c>
      <c r="E36" s="44" t="s">
        <v>1039</v>
      </c>
      <c r="F36" s="44" t="s">
        <v>1038</v>
      </c>
    </row>
    <row r="37">
      <c r="A37" s="44">
        <v>13.0</v>
      </c>
      <c r="B37" s="44">
        <v>1.62411062E9</v>
      </c>
      <c r="C37" s="40">
        <f>IFERROR(__xludf.DUMMYFUNCTION("INDEX(SPLIT(B37, char(10)), 0, 1)/86400+date(1970,1,1)"),44366.57662037037)</f>
        <v>44366.57662</v>
      </c>
      <c r="D37" s="44" t="s">
        <v>128</v>
      </c>
      <c r="E37" s="44" t="s">
        <v>1040</v>
      </c>
      <c r="F37" s="44" t="s">
        <v>1041</v>
      </c>
    </row>
    <row r="38">
      <c r="A38" s="44">
        <v>13.0</v>
      </c>
      <c r="B38" s="44">
        <v>1.624110645E9</v>
      </c>
      <c r="C38" s="40">
        <f>IFERROR(__xludf.DUMMYFUNCTION("INDEX(SPLIT(B38, char(10)), 0, 1)/86400+date(1970,1,1)"),44366.57690972222)</f>
        <v>44366.57691</v>
      </c>
      <c r="D38" s="44" t="s">
        <v>174</v>
      </c>
      <c r="E38" s="44" t="s">
        <v>1000</v>
      </c>
      <c r="F38" s="44" t="s">
        <v>1042</v>
      </c>
    </row>
    <row r="39">
      <c r="A39" s="44">
        <v>14.0</v>
      </c>
      <c r="B39" s="44">
        <v>1.624110768E9</v>
      </c>
      <c r="C39" s="40">
        <f>IFERROR(__xludf.DUMMYFUNCTION("INDEX(SPLIT(B39, char(10)), 0, 1)/86400+date(1970,1,1)"),44366.57833333334)</f>
        <v>44366.57833</v>
      </c>
      <c r="D39" s="44" t="s">
        <v>174</v>
      </c>
      <c r="E39" s="44" t="s">
        <v>1043</v>
      </c>
      <c r="F39" s="44" t="s">
        <v>1044</v>
      </c>
    </row>
    <row r="40">
      <c r="A40" s="44">
        <v>15.0</v>
      </c>
      <c r="B40" s="44">
        <v>1.624110915E9</v>
      </c>
      <c r="C40" s="40">
        <f>IFERROR(__xludf.DUMMYFUNCTION("INDEX(SPLIT(B40, char(10)), 0, 1)/86400+date(1970,1,1)"),44366.580034722225)</f>
        <v>44366.58003</v>
      </c>
      <c r="D40" s="44" t="s">
        <v>81</v>
      </c>
      <c r="E40" s="44" t="s">
        <v>1045</v>
      </c>
      <c r="F40" s="44" t="s">
        <v>1046</v>
      </c>
    </row>
    <row r="41">
      <c r="A41" s="44">
        <v>15.0</v>
      </c>
      <c r="B41" s="44">
        <v>1.624110919E9</v>
      </c>
      <c r="C41" s="40">
        <f>IFERROR(__xludf.DUMMYFUNCTION("INDEX(SPLIT(B41, char(10)), 0, 1)/86400+date(1970,1,1)"),44366.58008101852)</f>
        <v>44366.58008</v>
      </c>
      <c r="D41" s="44" t="s">
        <v>151</v>
      </c>
      <c r="E41" s="44" t="s">
        <v>1045</v>
      </c>
      <c r="F41" s="44" t="s">
        <v>1047</v>
      </c>
    </row>
    <row r="42">
      <c r="A42" s="44">
        <v>15.0</v>
      </c>
      <c r="B42" s="44">
        <v>1.624110922E9</v>
      </c>
      <c r="C42" s="40">
        <f>IFERROR(__xludf.DUMMYFUNCTION("INDEX(SPLIT(B42, char(10)), 0, 1)/86400+date(1970,1,1)"),44366.58011574074)</f>
        <v>44366.58012</v>
      </c>
      <c r="D42" s="44" t="s">
        <v>93</v>
      </c>
      <c r="E42" s="44" t="s">
        <v>1048</v>
      </c>
      <c r="F42" s="44" t="s">
        <v>1046</v>
      </c>
    </row>
    <row r="43">
      <c r="A43" s="44">
        <v>15.0</v>
      </c>
      <c r="B43" s="44">
        <v>1.62411093E9</v>
      </c>
      <c r="C43" s="40">
        <f>IFERROR(__xludf.DUMMYFUNCTION("INDEX(SPLIT(B43, char(10)), 0, 1)/86400+date(1970,1,1)"),44366.58020833333)</f>
        <v>44366.58021</v>
      </c>
      <c r="D43" s="44" t="s">
        <v>90</v>
      </c>
      <c r="E43" s="44" t="s">
        <v>1049</v>
      </c>
      <c r="F43" s="44" t="s">
        <v>1050</v>
      </c>
    </row>
    <row r="44">
      <c r="A44" s="44">
        <v>15.0</v>
      </c>
      <c r="B44" s="44">
        <v>1.624111E9</v>
      </c>
      <c r="C44" s="40">
        <f>IFERROR(__xludf.DUMMYFUNCTION("INDEX(SPLIT(B44, char(10)), 0, 1)/86400+date(1970,1,1)"),44366.58101851852)</f>
        <v>44366.58102</v>
      </c>
      <c r="D44" s="44" t="s">
        <v>174</v>
      </c>
      <c r="E44" s="44" t="s">
        <v>1051</v>
      </c>
      <c r="F44" s="44" t="s">
        <v>1052</v>
      </c>
    </row>
    <row r="45">
      <c r="A45" s="44">
        <v>16.0</v>
      </c>
      <c r="B45" s="44">
        <v>1.624111226E9</v>
      </c>
      <c r="C45" s="40">
        <f>IFERROR(__xludf.DUMMYFUNCTION("INDEX(SPLIT(B45, char(10)), 0, 1)/86400+date(1970,1,1)"),44366.58363425926)</f>
        <v>44366.58363</v>
      </c>
      <c r="D45" s="44" t="s">
        <v>81</v>
      </c>
      <c r="E45" s="44" t="s">
        <v>1053</v>
      </c>
      <c r="F45" s="44" t="s">
        <v>1054</v>
      </c>
    </row>
    <row r="46">
      <c r="A46" s="44">
        <v>17.0</v>
      </c>
      <c r="B46" s="44">
        <v>1.624111635E9</v>
      </c>
      <c r="C46" s="40">
        <f>IFERROR(__xludf.DUMMYFUNCTION("INDEX(SPLIT(B46, char(10)), 0, 1)/86400+date(1970,1,1)"),44366.588368055556)</f>
        <v>44366.58837</v>
      </c>
      <c r="D46" s="44" t="s">
        <v>96</v>
      </c>
      <c r="E46" s="44" t="s">
        <v>1055</v>
      </c>
      <c r="F46" s="44" t="s">
        <v>1056</v>
      </c>
    </row>
    <row r="47">
      <c r="A47" s="44">
        <v>17.0</v>
      </c>
      <c r="B47" s="44">
        <v>1.624111641E9</v>
      </c>
      <c r="C47" s="40">
        <f>IFERROR(__xludf.DUMMYFUNCTION("INDEX(SPLIT(B47, char(10)), 0, 1)/86400+date(1970,1,1)"),44366.5884375)</f>
        <v>44366.58844</v>
      </c>
      <c r="D47" s="44" t="s">
        <v>151</v>
      </c>
      <c r="E47" s="44" t="s">
        <v>1057</v>
      </c>
      <c r="F47" s="44" t="s">
        <v>1058</v>
      </c>
    </row>
    <row r="48">
      <c r="A48" s="44">
        <v>17.0</v>
      </c>
      <c r="B48" s="44">
        <v>1.624111642E9</v>
      </c>
      <c r="C48" s="40">
        <f>IFERROR(__xludf.DUMMYFUNCTION("INDEX(SPLIT(B48, char(10)), 0, 1)/86400+date(1970,1,1)"),44366.58844907407)</f>
        <v>44366.58845</v>
      </c>
      <c r="D48" s="44" t="s">
        <v>90</v>
      </c>
      <c r="E48" s="44" t="s">
        <v>1059</v>
      </c>
      <c r="F48" s="44" t="s">
        <v>1060</v>
      </c>
    </row>
    <row r="49">
      <c r="A49" s="44">
        <v>18.0</v>
      </c>
      <c r="B49" s="44">
        <v>1.624111836E9</v>
      </c>
      <c r="C49" s="40">
        <f>IFERROR(__xludf.DUMMYFUNCTION("INDEX(SPLIT(B49, char(10)), 0, 1)/86400+date(1970,1,1)"),44366.59069444444)</f>
        <v>44366.59069</v>
      </c>
      <c r="D49" s="44" t="s">
        <v>90</v>
      </c>
      <c r="E49" s="44" t="s">
        <v>1061</v>
      </c>
      <c r="F49" s="44" t="s">
        <v>1062</v>
      </c>
    </row>
    <row r="50">
      <c r="A50" s="44">
        <v>19.0</v>
      </c>
      <c r="B50" s="44">
        <v>1.62411206E9</v>
      </c>
      <c r="C50" s="40">
        <f>IFERROR(__xludf.DUMMYFUNCTION("INDEX(SPLIT(B50, char(10)), 0, 1)/86400+date(1970,1,1)"),44366.59328703704)</f>
        <v>44366.59329</v>
      </c>
      <c r="D50" s="44" t="s">
        <v>81</v>
      </c>
      <c r="E50" s="44" t="s">
        <v>1063</v>
      </c>
      <c r="F50" s="44" t="s">
        <v>1064</v>
      </c>
    </row>
    <row r="51">
      <c r="A51" s="44">
        <v>19.0</v>
      </c>
      <c r="B51" s="44">
        <v>1.624112123E9</v>
      </c>
      <c r="C51" s="40">
        <f>IFERROR(__xludf.DUMMYFUNCTION("INDEX(SPLIT(B51, char(10)), 0, 1)/86400+date(1970,1,1)"),44366.5940162037)</f>
        <v>44366.59402</v>
      </c>
      <c r="D51" s="44" t="s">
        <v>90</v>
      </c>
      <c r="E51" s="44" t="s">
        <v>1065</v>
      </c>
      <c r="F51" s="44" t="s">
        <v>1066</v>
      </c>
    </row>
    <row r="52">
      <c r="A52" s="44">
        <v>20.0</v>
      </c>
      <c r="B52" s="44">
        <v>1.624112246E9</v>
      </c>
      <c r="C52" s="40">
        <f>IFERROR(__xludf.DUMMYFUNCTION("INDEX(SPLIT(B52, char(10)), 0, 1)/86400+date(1970,1,1)"),44366.59543981482)</f>
        <v>44366.59544</v>
      </c>
      <c r="D52" s="44" t="s">
        <v>90</v>
      </c>
      <c r="E52" s="44" t="s">
        <v>1067</v>
      </c>
      <c r="F52" s="44" t="s">
        <v>1068</v>
      </c>
    </row>
    <row r="53">
      <c r="A53" s="44">
        <v>20.0</v>
      </c>
      <c r="B53" s="44">
        <v>1.624112266E9</v>
      </c>
      <c r="C53" s="40">
        <f>IFERROR(__xludf.DUMMYFUNCTION("INDEX(SPLIT(B53, char(10)), 0, 1)/86400+date(1970,1,1)"),44366.595671296294)</f>
        <v>44366.59567</v>
      </c>
      <c r="D53" s="44" t="s">
        <v>81</v>
      </c>
      <c r="E53" s="44" t="s">
        <v>1069</v>
      </c>
      <c r="F53" s="44" t="s">
        <v>1070</v>
      </c>
    </row>
    <row r="54">
      <c r="A54" s="44">
        <v>20.0</v>
      </c>
      <c r="B54" s="44">
        <v>1.624112317E9</v>
      </c>
      <c r="C54" s="40">
        <f>IFERROR(__xludf.DUMMYFUNCTION("INDEX(SPLIT(B54, char(10)), 0, 1)/86400+date(1970,1,1)"),44366.59626157407)</f>
        <v>44366.59626</v>
      </c>
      <c r="D54" s="44" t="s">
        <v>103</v>
      </c>
      <c r="E54" s="44" t="s">
        <v>198</v>
      </c>
      <c r="F54" s="44" t="s">
        <v>1071</v>
      </c>
    </row>
    <row r="55">
      <c r="A55" s="44">
        <v>21.0</v>
      </c>
      <c r="B55" s="44">
        <v>1.624112463E9</v>
      </c>
      <c r="C55" s="40">
        <f>IFERROR(__xludf.DUMMYFUNCTION("INDEX(SPLIT(B55, char(10)), 0, 1)/86400+date(1970,1,1)"),44366.59795138889)</f>
        <v>44366.59795</v>
      </c>
      <c r="D55" s="44" t="s">
        <v>174</v>
      </c>
      <c r="E55" s="44" t="s">
        <v>876</v>
      </c>
      <c r="F55" s="44" t="s">
        <v>1072</v>
      </c>
    </row>
    <row r="56">
      <c r="A56" s="44">
        <v>22.0</v>
      </c>
      <c r="B56" s="44">
        <v>1.624112594E9</v>
      </c>
      <c r="C56" s="40">
        <f>IFERROR(__xludf.DUMMYFUNCTION("INDEX(SPLIT(B56, char(10)), 0, 1)/86400+date(1970,1,1)"),44366.59946759259)</f>
        <v>44366.59947</v>
      </c>
      <c r="D56" s="44" t="s">
        <v>103</v>
      </c>
      <c r="E56" s="44" t="s">
        <v>1073</v>
      </c>
      <c r="F56" s="44" t="s">
        <v>1074</v>
      </c>
    </row>
    <row r="57">
      <c r="A57" s="44">
        <v>22.0</v>
      </c>
      <c r="B57" s="44">
        <v>1.624112618E9</v>
      </c>
      <c r="C57" s="40">
        <f>IFERROR(__xludf.DUMMYFUNCTION("INDEX(SPLIT(B57, char(10)), 0, 1)/86400+date(1970,1,1)"),44366.599745370375)</f>
        <v>44366.59975</v>
      </c>
      <c r="D57" s="44" t="s">
        <v>81</v>
      </c>
      <c r="E57" s="44" t="s">
        <v>1075</v>
      </c>
      <c r="F57" s="44" t="s">
        <v>1076</v>
      </c>
    </row>
    <row r="58">
      <c r="A58" s="44">
        <v>22.0</v>
      </c>
      <c r="B58" s="44">
        <v>1.624112622E9</v>
      </c>
      <c r="C58" s="40">
        <f>IFERROR(__xludf.DUMMYFUNCTION("INDEX(SPLIT(B58, char(10)), 0, 1)/86400+date(1970,1,1)"),44366.59979166667)</f>
        <v>44366.59979</v>
      </c>
      <c r="D58" s="44" t="s">
        <v>90</v>
      </c>
      <c r="E58" s="44" t="s">
        <v>1077</v>
      </c>
      <c r="F58" s="44" t="s">
        <v>1078</v>
      </c>
    </row>
    <row r="59">
      <c r="A59" s="44">
        <v>23.0</v>
      </c>
      <c r="B59" s="44">
        <v>1.624112749E9</v>
      </c>
      <c r="C59" s="40">
        <f>IFERROR(__xludf.DUMMYFUNCTION("INDEX(SPLIT(B59, char(10)), 0, 1)/86400+date(1970,1,1)"),44366.60126157408)</f>
        <v>44366.60126</v>
      </c>
      <c r="D59" s="44" t="s">
        <v>103</v>
      </c>
      <c r="E59" s="44" t="s">
        <v>1079</v>
      </c>
      <c r="F59" s="44" t="s">
        <v>1080</v>
      </c>
    </row>
    <row r="60">
      <c r="A60" s="44">
        <v>23.0</v>
      </c>
      <c r="B60" s="44">
        <v>1.62411275E9</v>
      </c>
      <c r="C60" s="40">
        <f>IFERROR(__xludf.DUMMYFUNCTION("INDEX(SPLIT(B60, char(10)), 0, 1)/86400+date(1970,1,1)"),44366.601273148146)</f>
        <v>44366.60127</v>
      </c>
      <c r="D60" s="44" t="s">
        <v>128</v>
      </c>
      <c r="E60" s="44" t="s">
        <v>1081</v>
      </c>
      <c r="F60" s="44" t="s">
        <v>1082</v>
      </c>
    </row>
    <row r="61">
      <c r="A61" s="44">
        <v>23.0</v>
      </c>
      <c r="B61" s="44">
        <v>1.624112765E9</v>
      </c>
      <c r="C61" s="40">
        <f>IFERROR(__xludf.DUMMYFUNCTION("INDEX(SPLIT(B61, char(10)), 0, 1)/86400+date(1970,1,1)"),44366.60144675926)</f>
        <v>44366.60145</v>
      </c>
      <c r="D61" s="44" t="s">
        <v>81</v>
      </c>
      <c r="E61" s="44" t="s">
        <v>1083</v>
      </c>
      <c r="F61" s="44" t="s">
        <v>1084</v>
      </c>
    </row>
    <row r="62">
      <c r="A62" s="44">
        <v>23.0</v>
      </c>
      <c r="B62" s="44">
        <v>1.624112797E9</v>
      </c>
      <c r="C62" s="40">
        <f>IFERROR(__xludf.DUMMYFUNCTION("INDEX(SPLIT(B62, char(10)), 0, 1)/86400+date(1970,1,1)"),44366.60181712963)</f>
        <v>44366.60182</v>
      </c>
      <c r="D62" s="44" t="s">
        <v>93</v>
      </c>
      <c r="E62" s="44" t="s">
        <v>1085</v>
      </c>
      <c r="F62" s="44" t="s">
        <v>1086</v>
      </c>
    </row>
    <row r="63">
      <c r="A63" s="44">
        <v>23.0</v>
      </c>
      <c r="B63" s="44">
        <v>1.624112802E9</v>
      </c>
      <c r="C63" s="40">
        <f>IFERROR(__xludf.DUMMYFUNCTION("INDEX(SPLIT(B63, char(10)), 0, 1)/86400+date(1970,1,1)"),44366.601875)</f>
        <v>44366.60188</v>
      </c>
      <c r="D63" s="44" t="s">
        <v>131</v>
      </c>
      <c r="E63" s="44" t="s">
        <v>194</v>
      </c>
      <c r="F63" s="44" t="s">
        <v>1087</v>
      </c>
    </row>
    <row r="64">
      <c r="A64" s="44">
        <v>23.0</v>
      </c>
      <c r="B64" s="44">
        <v>1.624112833E9</v>
      </c>
      <c r="C64" s="40">
        <f>IFERROR(__xludf.DUMMYFUNCTION("INDEX(SPLIT(B64, char(10)), 0, 1)/86400+date(1970,1,1)"),44366.60223379629)</f>
        <v>44366.60223</v>
      </c>
      <c r="D64" s="44" t="s">
        <v>151</v>
      </c>
      <c r="E64" s="44" t="s">
        <v>992</v>
      </c>
      <c r="F64" s="44" t="s">
        <v>1088</v>
      </c>
    </row>
    <row r="65">
      <c r="A65" s="44">
        <v>23.0</v>
      </c>
      <c r="B65" s="44">
        <v>1.624112838E9</v>
      </c>
      <c r="C65" s="40">
        <f>IFERROR(__xludf.DUMMYFUNCTION("INDEX(SPLIT(B65, char(10)), 0, 1)/86400+date(1970,1,1)"),44366.60229166667)</f>
        <v>44366.60229</v>
      </c>
      <c r="D65" s="44" t="s">
        <v>136</v>
      </c>
      <c r="E65" s="44" t="s">
        <v>1033</v>
      </c>
      <c r="F65" s="44" t="s">
        <v>1089</v>
      </c>
    </row>
    <row r="66">
      <c r="A66" s="44">
        <v>24.0</v>
      </c>
      <c r="B66" s="44">
        <v>1.624112844E9</v>
      </c>
      <c r="C66" s="40">
        <f>IFERROR(__xludf.DUMMYFUNCTION("INDEX(SPLIT(B66, char(10)), 0, 1)/86400+date(1970,1,1)"),44366.602361111116)</f>
        <v>44366.60236</v>
      </c>
      <c r="D66" s="44" t="s">
        <v>90</v>
      </c>
      <c r="E66" s="44" t="s">
        <v>992</v>
      </c>
      <c r="F66" s="44" t="s">
        <v>1090</v>
      </c>
    </row>
    <row r="67">
      <c r="A67" s="44">
        <v>24.0</v>
      </c>
      <c r="B67" s="44">
        <v>1.624112903E9</v>
      </c>
      <c r="C67" s="40">
        <f>IFERROR(__xludf.DUMMYFUNCTION("INDEX(SPLIT(B67, char(10)), 0, 1)/86400+date(1970,1,1)"),44366.60304398148)</f>
        <v>44366.60304</v>
      </c>
      <c r="D67" s="44" t="s">
        <v>93</v>
      </c>
      <c r="E67" s="44" t="s">
        <v>1091</v>
      </c>
      <c r="F67" s="44" t="s">
        <v>1092</v>
      </c>
    </row>
    <row r="68">
      <c r="A68" s="44">
        <v>24.0</v>
      </c>
      <c r="B68" s="44">
        <v>1.624112927E9</v>
      </c>
      <c r="C68" s="40">
        <f>IFERROR(__xludf.DUMMYFUNCTION("INDEX(SPLIT(B68, char(10)), 0, 1)/86400+date(1970,1,1)"),44366.60332175926)</f>
        <v>44366.60332</v>
      </c>
      <c r="D68" s="44" t="s">
        <v>81</v>
      </c>
      <c r="E68" s="44" t="s">
        <v>1093</v>
      </c>
      <c r="F68" s="44" t="s">
        <v>1094</v>
      </c>
    </row>
    <row r="69">
      <c r="A69" s="44">
        <v>25.0</v>
      </c>
      <c r="B69" s="44">
        <v>1.624113081E9</v>
      </c>
      <c r="C69" s="40">
        <f>IFERROR(__xludf.DUMMYFUNCTION("INDEX(SPLIT(B69, char(10)), 0, 1)/86400+date(1970,1,1)"),44366.605104166665)</f>
        <v>44366.6051</v>
      </c>
      <c r="D69" s="44" t="s">
        <v>81</v>
      </c>
      <c r="E69" s="44" t="s">
        <v>1095</v>
      </c>
      <c r="F69" s="44" t="s">
        <v>1096</v>
      </c>
    </row>
    <row r="70">
      <c r="A70" s="44">
        <v>25.0</v>
      </c>
      <c r="B70" s="44">
        <v>1.624113156E9</v>
      </c>
      <c r="C70" s="40">
        <f>IFERROR(__xludf.DUMMYFUNCTION("INDEX(SPLIT(B70, char(10)), 0, 1)/86400+date(1970,1,1)"),44366.60597222223)</f>
        <v>44366.60597</v>
      </c>
      <c r="D70" s="44" t="s">
        <v>90</v>
      </c>
      <c r="E70" s="44" t="s">
        <v>1097</v>
      </c>
      <c r="F70" s="44" t="s">
        <v>1098</v>
      </c>
    </row>
    <row r="71">
      <c r="A71" s="44">
        <v>26.0</v>
      </c>
      <c r="B71" s="44">
        <v>1.624113179E9</v>
      </c>
      <c r="C71" s="40">
        <f>IFERROR(__xludf.DUMMYFUNCTION("INDEX(SPLIT(B71, char(10)), 0, 1)/86400+date(1970,1,1)"),44366.60623842593)</f>
        <v>44366.60624</v>
      </c>
      <c r="D71" s="44" t="s">
        <v>103</v>
      </c>
      <c r="E71" s="44" t="s">
        <v>162</v>
      </c>
      <c r="F71" s="44" t="s">
        <v>1099</v>
      </c>
    </row>
    <row r="72">
      <c r="A72" s="44">
        <v>26.0</v>
      </c>
      <c r="B72" s="44">
        <v>1.624113255E9</v>
      </c>
      <c r="C72" s="40">
        <f>IFERROR(__xludf.DUMMYFUNCTION("INDEX(SPLIT(B72, char(10)), 0, 1)/86400+date(1970,1,1)"),44366.60711805556)</f>
        <v>44366.60712</v>
      </c>
      <c r="D72" s="44" t="s">
        <v>93</v>
      </c>
      <c r="E72" s="44" t="s">
        <v>1100</v>
      </c>
      <c r="F72" s="44" t="s">
        <v>1101</v>
      </c>
    </row>
    <row r="73">
      <c r="A73" s="44">
        <v>27.0</v>
      </c>
      <c r="B73" s="44">
        <v>1.624113289E9</v>
      </c>
      <c r="C73" s="40">
        <f>IFERROR(__xludf.DUMMYFUNCTION("INDEX(SPLIT(B73, char(10)), 0, 1)/86400+date(1970,1,1)"),44366.607511574075)</f>
        <v>44366.60751</v>
      </c>
      <c r="D73" s="44" t="s">
        <v>103</v>
      </c>
      <c r="E73" s="44" t="s">
        <v>698</v>
      </c>
      <c r="F73" s="44" t="s">
        <v>1102</v>
      </c>
    </row>
    <row r="74">
      <c r="A74" s="44">
        <v>27.0</v>
      </c>
      <c r="B74" s="44">
        <v>1.624113325E9</v>
      </c>
      <c r="C74" s="40">
        <f>IFERROR(__xludf.DUMMYFUNCTION("INDEX(SPLIT(B74, char(10)), 0, 1)/86400+date(1970,1,1)"),44366.607928240745)</f>
        <v>44366.60793</v>
      </c>
      <c r="D74" s="44" t="s">
        <v>81</v>
      </c>
      <c r="E74" s="44" t="s">
        <v>1103</v>
      </c>
      <c r="F74" s="44" t="s">
        <v>1104</v>
      </c>
    </row>
    <row r="75">
      <c r="A75" s="44">
        <v>27.0</v>
      </c>
      <c r="B75" s="44">
        <v>1.624113377E9</v>
      </c>
      <c r="C75" s="40">
        <f>IFERROR(__xludf.DUMMYFUNCTION("INDEX(SPLIT(B75, char(10)), 0, 1)/86400+date(1970,1,1)"),44366.60853009259)</f>
        <v>44366.60853</v>
      </c>
      <c r="D75" s="44" t="s">
        <v>90</v>
      </c>
      <c r="E75" s="44" t="s">
        <v>1105</v>
      </c>
      <c r="F75" s="44" t="s">
        <v>1106</v>
      </c>
    </row>
    <row r="76">
      <c r="A76" s="44">
        <v>28.0</v>
      </c>
      <c r="B76" s="44">
        <v>1.624113389E9</v>
      </c>
      <c r="C76" s="40">
        <f>IFERROR(__xludf.DUMMYFUNCTION("INDEX(SPLIT(B76, char(10)), 0, 1)/86400+date(1970,1,1)"),44366.608668981484)</f>
        <v>44366.60867</v>
      </c>
      <c r="D76" s="44" t="s">
        <v>93</v>
      </c>
      <c r="E76" s="44" t="s">
        <v>1000</v>
      </c>
      <c r="F76" s="44" t="s">
        <v>1107</v>
      </c>
    </row>
    <row r="77">
      <c r="A77" s="44">
        <v>28.0</v>
      </c>
      <c r="B77" s="44">
        <v>1.624113399E9</v>
      </c>
      <c r="C77" s="40">
        <f>IFERROR(__xludf.DUMMYFUNCTION("INDEX(SPLIT(B77, char(10)), 0, 1)/86400+date(1970,1,1)"),44366.60878472222)</f>
        <v>44366.60878</v>
      </c>
      <c r="D77" s="44" t="s">
        <v>96</v>
      </c>
      <c r="E77" s="44" t="s">
        <v>418</v>
      </c>
      <c r="F77" s="44" t="s">
        <v>1108</v>
      </c>
    </row>
    <row r="78">
      <c r="A78" s="44">
        <v>28.0</v>
      </c>
      <c r="B78" s="44">
        <v>1.624113431E9</v>
      </c>
      <c r="C78" s="40">
        <f>IFERROR(__xludf.DUMMYFUNCTION("INDEX(SPLIT(B78, char(10)), 0, 1)/86400+date(1970,1,1)"),44366.60915509259)</f>
        <v>44366.60916</v>
      </c>
      <c r="D78" s="44" t="s">
        <v>103</v>
      </c>
      <c r="E78" s="44" t="s">
        <v>1109</v>
      </c>
      <c r="F78" s="44" t="s">
        <v>1110</v>
      </c>
    </row>
    <row r="79">
      <c r="A79" s="44">
        <v>29.0</v>
      </c>
      <c r="B79" s="44">
        <v>1.624113539E9</v>
      </c>
      <c r="C79" s="40">
        <f>IFERROR(__xludf.DUMMYFUNCTION("INDEX(SPLIT(B79, char(10)), 0, 1)/86400+date(1970,1,1)"),44366.61040509259)</f>
        <v>44366.61041</v>
      </c>
      <c r="D79" s="44" t="s">
        <v>90</v>
      </c>
      <c r="E79" s="44" t="s">
        <v>1000</v>
      </c>
      <c r="F79" s="44" t="s">
        <v>1111</v>
      </c>
    </row>
    <row r="80">
      <c r="A80" s="44">
        <v>30.0</v>
      </c>
      <c r="B80" s="44">
        <v>1.624113749E9</v>
      </c>
      <c r="C80" s="40">
        <f>IFERROR(__xludf.DUMMYFUNCTION("INDEX(SPLIT(B80, char(10)), 0, 1)/86400+date(1970,1,1)"),44366.61283564815)</f>
        <v>44366.61284</v>
      </c>
      <c r="D80" s="44" t="s">
        <v>93</v>
      </c>
      <c r="E80" s="44" t="s">
        <v>992</v>
      </c>
      <c r="F80" s="44" t="s">
        <v>1112</v>
      </c>
    </row>
    <row r="81">
      <c r="A81" s="44">
        <v>30.0</v>
      </c>
      <c r="B81" s="44">
        <v>1.62411375E9</v>
      </c>
      <c r="C81" s="40">
        <f>IFERROR(__xludf.DUMMYFUNCTION("INDEX(SPLIT(B81, char(10)), 0, 1)/86400+date(1970,1,1)"),44366.61284722222)</f>
        <v>44366.61285</v>
      </c>
      <c r="D81" s="44" t="s">
        <v>174</v>
      </c>
      <c r="E81" s="44" t="s">
        <v>1113</v>
      </c>
      <c r="F81" s="44" t="s">
        <v>1114</v>
      </c>
    </row>
    <row r="82">
      <c r="A82" s="44">
        <v>30.0</v>
      </c>
      <c r="B82" s="44">
        <v>1.624113823E9</v>
      </c>
      <c r="C82" s="40">
        <f>IFERROR(__xludf.DUMMYFUNCTION("INDEX(SPLIT(B82, char(10)), 0, 1)/86400+date(1970,1,1)"),44366.61369212963)</f>
        <v>44366.61369</v>
      </c>
      <c r="D82" s="44" t="s">
        <v>136</v>
      </c>
      <c r="E82" s="44" t="s">
        <v>992</v>
      </c>
      <c r="F82" s="44" t="s">
        <v>1115</v>
      </c>
    </row>
    <row r="83">
      <c r="A83" s="44">
        <v>31.0</v>
      </c>
      <c r="B83" s="44">
        <v>1.624113858E9</v>
      </c>
      <c r="C83" s="40">
        <f>IFERROR(__xludf.DUMMYFUNCTION("INDEX(SPLIT(B83, char(10)), 0, 1)/86400+date(1970,1,1)"),44366.61409722222)</f>
        <v>44366.6141</v>
      </c>
      <c r="D83" s="44" t="s">
        <v>81</v>
      </c>
      <c r="E83" s="44" t="s">
        <v>1116</v>
      </c>
      <c r="F83" s="44" t="s">
        <v>1117</v>
      </c>
    </row>
    <row r="84">
      <c r="A84" s="44">
        <v>31.0</v>
      </c>
      <c r="B84" s="44">
        <v>1.624113887E9</v>
      </c>
      <c r="C84" s="40">
        <f>IFERROR(__xludf.DUMMYFUNCTION("INDEX(SPLIT(B84, char(10)), 0, 1)/86400+date(1970,1,1)"),44366.61443287037)</f>
        <v>44366.61443</v>
      </c>
      <c r="D84" s="44" t="s">
        <v>174</v>
      </c>
      <c r="E84" s="44" t="s">
        <v>585</v>
      </c>
      <c r="F84" s="44" t="s">
        <v>1118</v>
      </c>
    </row>
    <row r="85">
      <c r="A85" s="44">
        <v>32.0</v>
      </c>
      <c r="B85" s="44">
        <v>1.624114078E9</v>
      </c>
      <c r="C85" s="40">
        <f>IFERROR(__xludf.DUMMYFUNCTION("INDEX(SPLIT(B85, char(10)), 0, 1)/86400+date(1970,1,1)"),44366.616643518515)</f>
        <v>44366.61664</v>
      </c>
      <c r="D85" s="44" t="s">
        <v>96</v>
      </c>
      <c r="E85" s="44" t="s">
        <v>1119</v>
      </c>
      <c r="F85" s="44" t="s">
        <v>1120</v>
      </c>
    </row>
    <row r="86">
      <c r="A86" s="44">
        <v>33.0</v>
      </c>
      <c r="B86" s="44">
        <v>1.624114233E9</v>
      </c>
      <c r="C86" s="40">
        <f>IFERROR(__xludf.DUMMYFUNCTION("INDEX(SPLIT(B86, char(10)), 0, 1)/86400+date(1970,1,1)"),44366.6184375)</f>
        <v>44366.61844</v>
      </c>
      <c r="D86" s="44" t="s">
        <v>90</v>
      </c>
      <c r="E86" s="44" t="s">
        <v>1121</v>
      </c>
      <c r="F86" s="44" t="s">
        <v>1122</v>
      </c>
    </row>
    <row r="87">
      <c r="A87" s="44">
        <v>33.0</v>
      </c>
      <c r="B87" s="44">
        <v>1.624114238E9</v>
      </c>
      <c r="C87" s="40">
        <f>IFERROR(__xludf.DUMMYFUNCTION("INDEX(SPLIT(B87, char(10)), 0, 1)/86400+date(1970,1,1)"),44366.61849537037)</f>
        <v>44366.6185</v>
      </c>
      <c r="D87" s="44" t="s">
        <v>81</v>
      </c>
      <c r="E87" s="44" t="s">
        <v>984</v>
      </c>
      <c r="F87" s="44" t="s">
        <v>1123</v>
      </c>
    </row>
    <row r="88">
      <c r="A88" s="44">
        <v>33.0</v>
      </c>
      <c r="B88" s="44">
        <v>1.624114254E9</v>
      </c>
      <c r="C88" s="40">
        <f>IFERROR(__xludf.DUMMYFUNCTION("INDEX(SPLIT(B88, char(10)), 0, 1)/86400+date(1970,1,1)"),44366.618680555555)</f>
        <v>44366.61868</v>
      </c>
      <c r="D88" s="44" t="s">
        <v>103</v>
      </c>
      <c r="E88" s="44" t="s">
        <v>1124</v>
      </c>
      <c r="F88" s="44" t="s">
        <v>1125</v>
      </c>
    </row>
    <row r="89">
      <c r="A89" s="44">
        <v>34.0</v>
      </c>
      <c r="B89" s="44">
        <v>1.624114457E9</v>
      </c>
      <c r="C89" s="40">
        <f>IFERROR(__xludf.DUMMYFUNCTION("INDEX(SPLIT(B89, char(10)), 0, 1)/86400+date(1970,1,1)"),44366.62103009259)</f>
        <v>44366.62103</v>
      </c>
      <c r="D89" s="44" t="s">
        <v>103</v>
      </c>
      <c r="E89" s="44" t="s">
        <v>1126</v>
      </c>
      <c r="F89" s="44" t="s">
        <v>1127</v>
      </c>
    </row>
    <row r="90">
      <c r="A90" s="44">
        <v>34.0</v>
      </c>
      <c r="B90" s="44">
        <v>1.624114497E9</v>
      </c>
      <c r="C90" s="40">
        <f>IFERROR(__xludf.DUMMYFUNCTION("INDEX(SPLIT(B90, char(10)), 0, 1)/86400+date(1970,1,1)"),44366.62149305556)</f>
        <v>44366.62149</v>
      </c>
      <c r="D90" s="44" t="s">
        <v>124</v>
      </c>
      <c r="E90" s="44" t="s">
        <v>1128</v>
      </c>
      <c r="F90" s="44" t="s">
        <v>1129</v>
      </c>
    </row>
    <row r="91">
      <c r="A91" s="44">
        <v>35.0</v>
      </c>
      <c r="B91" s="44">
        <v>1.624114556E9</v>
      </c>
      <c r="C91" s="40">
        <f>IFERROR(__xludf.DUMMYFUNCTION("INDEX(SPLIT(B91, char(10)), 0, 1)/86400+date(1970,1,1)"),44366.62217592592)</f>
        <v>44366.62218</v>
      </c>
      <c r="D91" s="44" t="s">
        <v>81</v>
      </c>
      <c r="E91" s="44" t="s">
        <v>1130</v>
      </c>
      <c r="F91" s="44" t="s">
        <v>1131</v>
      </c>
    </row>
    <row r="92">
      <c r="A92" s="44">
        <v>35.0</v>
      </c>
      <c r="B92" s="44">
        <v>1.624114567E9</v>
      </c>
      <c r="C92" s="40">
        <f>IFERROR(__xludf.DUMMYFUNCTION("INDEX(SPLIT(B92, char(10)), 0, 1)/86400+date(1970,1,1)"),44366.62230324074)</f>
        <v>44366.6223</v>
      </c>
      <c r="D92" s="44" t="s">
        <v>103</v>
      </c>
      <c r="E92" s="44" t="s">
        <v>1132</v>
      </c>
      <c r="F92" s="44" t="s">
        <v>1133</v>
      </c>
    </row>
    <row r="93">
      <c r="A93" s="44">
        <v>35.0</v>
      </c>
      <c r="B93" s="44">
        <v>1.624114584E9</v>
      </c>
      <c r="C93" s="40">
        <f>IFERROR(__xludf.DUMMYFUNCTION("INDEX(SPLIT(B93, char(10)), 0, 1)/86400+date(1970,1,1)"),44366.6225)</f>
        <v>44366.6225</v>
      </c>
      <c r="D93" s="44" t="s">
        <v>151</v>
      </c>
      <c r="E93" s="44" t="s">
        <v>1029</v>
      </c>
      <c r="F93" s="44" t="s">
        <v>1134</v>
      </c>
    </row>
    <row r="94">
      <c r="A94" s="44">
        <v>35.0</v>
      </c>
      <c r="B94" s="44">
        <v>1.624114586E9</v>
      </c>
      <c r="C94" s="40">
        <f>IFERROR(__xludf.DUMMYFUNCTION("INDEX(SPLIT(B94, char(10)), 0, 1)/86400+date(1970,1,1)"),44366.62252314815)</f>
        <v>44366.62252</v>
      </c>
      <c r="D94" s="44" t="s">
        <v>90</v>
      </c>
      <c r="E94" s="44" t="s">
        <v>1135</v>
      </c>
      <c r="F94" s="44" t="s">
        <v>1136</v>
      </c>
    </row>
    <row r="95">
      <c r="A95" s="44">
        <v>36.0</v>
      </c>
      <c r="B95" s="44">
        <v>1.624114678E9</v>
      </c>
      <c r="C95" s="40">
        <f>IFERROR(__xludf.DUMMYFUNCTION("INDEX(SPLIT(B95, char(10)), 0, 1)/86400+date(1970,1,1)"),44366.62358796297)</f>
        <v>44366.62359</v>
      </c>
      <c r="D95" s="44" t="s">
        <v>93</v>
      </c>
      <c r="E95" s="44" t="s">
        <v>1137</v>
      </c>
      <c r="F95" s="44" t="s">
        <v>1138</v>
      </c>
    </row>
    <row r="96">
      <c r="A96" s="44">
        <v>36.0</v>
      </c>
      <c r="B96" s="44">
        <v>1.624114678E9</v>
      </c>
      <c r="C96" s="40">
        <f>IFERROR(__xludf.DUMMYFUNCTION("INDEX(SPLIT(B96, char(10)), 0, 1)/86400+date(1970,1,1)"),44366.62358796297)</f>
        <v>44366.62359</v>
      </c>
      <c r="D96" s="44" t="s">
        <v>96</v>
      </c>
      <c r="E96" s="44" t="s">
        <v>1139</v>
      </c>
      <c r="F96" s="44" t="s">
        <v>1140</v>
      </c>
    </row>
    <row r="97">
      <c r="A97" s="44">
        <v>36.0</v>
      </c>
      <c r="B97" s="44">
        <v>1.624114681E9</v>
      </c>
      <c r="C97" s="40">
        <f>IFERROR(__xludf.DUMMYFUNCTION("INDEX(SPLIT(B97, char(10)), 0, 1)/86400+date(1970,1,1)"),44366.62362268519)</f>
        <v>44366.62362</v>
      </c>
      <c r="D97" s="44" t="s">
        <v>136</v>
      </c>
      <c r="E97" s="44" t="s">
        <v>1141</v>
      </c>
      <c r="F97" s="44" t="s">
        <v>1142</v>
      </c>
    </row>
    <row r="98">
      <c r="A98" s="44">
        <v>36.0</v>
      </c>
      <c r="B98" s="44">
        <v>1.624114711E9</v>
      </c>
      <c r="C98" s="40">
        <f>IFERROR(__xludf.DUMMYFUNCTION("INDEX(SPLIT(B98, char(10)), 0, 1)/86400+date(1970,1,1)"),44366.62396990741)</f>
        <v>44366.62397</v>
      </c>
      <c r="D98" s="44" t="s">
        <v>90</v>
      </c>
      <c r="E98" s="44" t="s">
        <v>1143</v>
      </c>
      <c r="F98" s="44" t="s">
        <v>1144</v>
      </c>
    </row>
    <row r="99">
      <c r="C99" s="40"/>
    </row>
    <row r="100">
      <c r="C100" s="40"/>
    </row>
    <row r="101">
      <c r="C101" s="40"/>
      <c r="D101" s="40"/>
      <c r="E101" s="40"/>
      <c r="F101" s="40"/>
    </row>
    <row r="102">
      <c r="C102" s="40"/>
      <c r="D102" s="40"/>
      <c r="E102" s="40"/>
      <c r="F102" s="40"/>
    </row>
    <row r="103">
      <c r="C103" s="40"/>
      <c r="D103" s="40"/>
      <c r="E103" s="40"/>
      <c r="F103" s="40"/>
    </row>
    <row r="104">
      <c r="C104" s="40"/>
      <c r="D104" s="40"/>
      <c r="E104" s="40"/>
      <c r="F104" s="40"/>
    </row>
    <row r="105">
      <c r="C105" s="40"/>
      <c r="D105" s="40"/>
      <c r="E105" s="40"/>
      <c r="F105" s="40"/>
    </row>
    <row r="106">
      <c r="C106" s="40"/>
      <c r="D106" s="40"/>
      <c r="E106" s="40"/>
      <c r="F106" s="40"/>
    </row>
    <row r="107">
      <c r="C107" s="40"/>
      <c r="D107" s="40"/>
      <c r="E107" s="40"/>
      <c r="F107" s="4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IFERROR(__xludf.DUMMYFUNCTION("TRANSPOSE(UNIQUE(INDIRECT(B2&amp;""!D2:D107"")))"),"['deflect', 'kick', 'corner', 'shot', 'net']")</f>
        <v>['deflect', 'kick', 'corner', 'shot', 'net']</v>
      </c>
      <c r="G1" s="5" t="str">
        <f>IFERROR(__xludf.DUMMYFUNCTION("""COMPUTED_VALUE"""),"['tackl', 'dribbl', 'yellow', 'red', 'card']")</f>
        <v>['tackl', 'dribbl', 'yellow', 'red', 'card']</v>
      </c>
      <c r="H1" s="5" t="str">
        <f>IFERROR(__xludf.DUMMYFUNCTION("""COMPUTED_VALUE"""),"['goal', 'score', 'conced', 'equalis', 'offsid', 'assist']")</f>
        <v>['goal', 'score', 'conced', 'equalis', 'offsid', 'assist']</v>
      </c>
      <c r="I1" s="5" t="str">
        <f>IFERROR(__xludf.DUMMYFUNCTION("""COMPUTED_VALUE"""),"['keeper', 'best', 'goalkeep', 'defend', 'EXCLUDED-kepa', 'save']")</f>
        <v>['keeper', 'best', 'goalkeep', 'defend', 'EXCLUDED-kepa', 'save']</v>
      </c>
      <c r="J1" s="5" t="str">
        <f>IFERROR(__xludf.DUMMYFUNCTION("""COMPUTED_VALUE"""),"['take', 'knee', 'player']")</f>
        <v>['take', 'knee', 'player']</v>
      </c>
      <c r="K1" s="5" t="str">
        <f>IFERROR(__xludf.DUMMYFUNCTION("""COMPUTED_VALUE"""),"['touch', 'cross', 'ball', 'pass']")</f>
        <v>['touch', 'cross', 'ball', 'pass']</v>
      </c>
      <c r="L1" s="5" t="str">
        <f>IFERROR(__xludf.DUMMYFUNCTION("""COMPUTED_VALUE"""),"['gol', 'stream', 'onlin', 'free', 'reddit', 'link', 'EXCLUDED-manchest', 'ff', 'live']")</f>
        <v>['gol', 'stream', 'onlin', 'free', 'reddit', 'link', 'EXCLUDED-manchest', 'ff', 'live']</v>
      </c>
      <c r="M1" s="5" t="str">
        <f>IFERROR(__xludf.DUMMYFUNCTION("""COMPUTED_VALUE"""),"['need', 'half', 'sub', 'second', 'lead', '2nd']")</f>
        <v>['need', 'half', 'sub', 'second', 'lead', '2nd']</v>
      </c>
      <c r="N1" s="5" t="str">
        <f>IFERROR(__xludf.DUMMYFUNCTION("""COMPUTED_VALUE"""),"['world', 'class', 'striker']")</f>
        <v>['world', 'class', 'striker']</v>
      </c>
      <c r="O1" s="5" t="str">
        <f>IFERROR(__xludf.DUMMYFUNCTION("""COMPUTED_VALUE"""),"['champion', 'final', 'leagu', 'footbal', 'win']")</f>
        <v>['champion', 'final', 'leagu', 'footbal', 'win']</v>
      </c>
      <c r="P1" s="5" t="str">
        <f>IFERROR(__xludf.DUMMYFUNCTION("""COMPUTED_VALUE"""),"['hit', 'post']")</f>
        <v>['hit', 'post']</v>
      </c>
      <c r="Q1" s="5" t="str">
        <f>IFERROR(__xludf.DUMMYFUNCTION("""COMPUTED_VALUE"""),"['foul', 'refere', 'book', 'decis', 'var', 'given', 'pen', 'dive', 'ref', 'penalti']")</f>
        <v>['foul', 'refere', 'book', 'decis', 'var', 'given', 'pen', 'dive', 'ref', 'penalti']</v>
      </c>
      <c r="R1" s="5"/>
    </row>
    <row r="2">
      <c r="A2" s="14" t="s">
        <v>31</v>
      </c>
      <c r="B2" s="15" t="s">
        <v>1145</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f t="shared" ref="G3:G7" si="2">F3/SUM(F$3:F$7)</f>
        <v>0</v>
      </c>
      <c r="H3" s="20" t="s">
        <v>14</v>
      </c>
      <c r="I3" s="21">
        <f t="shared" ref="I3:I7" si="3">COUNTIF(J$10:J1007,H3)</f>
        <v>0</v>
      </c>
      <c r="J3" s="22">
        <f t="shared" ref="J3:J7" si="4">I3/SUM(I$3:I$7)</f>
        <v>0</v>
      </c>
      <c r="K3" s="20" t="s">
        <v>14</v>
      </c>
      <c r="L3" s="21">
        <f t="shared" ref="L3:L7" si="5">COUNTIF(M$10:M1007,K3)</f>
        <v>2</v>
      </c>
      <c r="M3" s="22">
        <f t="shared" ref="M3:M7" si="6">L3/SUM(L$3:L$7)</f>
        <v>0.2</v>
      </c>
      <c r="N3" s="20" t="s">
        <v>14</v>
      </c>
      <c r="O3" s="21">
        <f t="shared" ref="O3:O7" si="7">COUNTIF(P$10:P1007,N3)</f>
        <v>1</v>
      </c>
      <c r="P3" s="22">
        <f t="shared" ref="P3:P7" si="8">O3/SUM(O$3:O$7)</f>
        <v>0.1111111111</v>
      </c>
      <c r="Q3" s="20" t="s">
        <v>14</v>
      </c>
      <c r="R3" s="21">
        <f t="shared" ref="R3:R7" si="9">COUNTIF(S$10:S1007,Q3)</f>
        <v>0</v>
      </c>
      <c r="S3" s="22">
        <f t="shared" ref="S3:S7" si="10">R3/SUM(R$3:R$7)</f>
        <v>0</v>
      </c>
      <c r="T3" s="20" t="s">
        <v>14</v>
      </c>
      <c r="U3" s="21">
        <f t="shared" ref="U3:U7" si="11">COUNTIF(V$10:V1007,T3)</f>
        <v>0</v>
      </c>
      <c r="V3" s="22">
        <f t="shared" ref="V3:V7" si="12">U3/SUM(U$3:U$7)</f>
        <v>0</v>
      </c>
      <c r="W3" s="20" t="s">
        <v>14</v>
      </c>
      <c r="X3" s="21">
        <f t="shared" ref="X3:X7" si="13">COUNTIF(Y$10:Y1007,W3)</f>
        <v>0</v>
      </c>
      <c r="Y3" s="22">
        <f t="shared" ref="Y3:Y7" si="14">X3/SUM(X$3:X$7)</f>
        <v>0</v>
      </c>
      <c r="Z3" s="20" t="s">
        <v>14</v>
      </c>
      <c r="AA3" s="21">
        <f t="shared" ref="AA3:AA7" si="15">COUNTIF(AB$10:AB1007,Z3)</f>
        <v>1</v>
      </c>
      <c r="AB3" s="22">
        <f t="shared" ref="AB3:AB7" si="16">AA3/SUM(AA$3:AA$7)</f>
        <v>0.1666666667</v>
      </c>
      <c r="AC3" s="20" t="s">
        <v>14</v>
      </c>
      <c r="AD3" s="21">
        <f t="shared" ref="AD3:AD7" si="17">COUNTIF(AE$10:AE1007,AC3)</f>
        <v>2</v>
      </c>
      <c r="AE3" s="22">
        <f t="shared" ref="AE3:AE7" si="18">AD3/SUM(AD$3:AD$7)</f>
        <v>0.25</v>
      </c>
      <c r="AF3" s="20" t="s">
        <v>14</v>
      </c>
      <c r="AG3" s="21">
        <f t="shared" ref="AG3:AG7" si="19">COUNTIF(AH$10:AH1007,AF3)</f>
        <v>2</v>
      </c>
      <c r="AH3" s="22">
        <f t="shared" ref="AH3:AH7" si="20">AG3/SUM(AG$3:AG$7)</f>
        <v>0.1176470588</v>
      </c>
      <c r="AI3" s="20" t="s">
        <v>14</v>
      </c>
      <c r="AJ3" s="21">
        <f t="shared" ref="AJ3:AJ7" si="21">COUNTIF(AK$10:AK1007,AI3)</f>
        <v>0</v>
      </c>
      <c r="AK3" s="22">
        <f t="shared" ref="AK3:AK7" si="22">AJ3/SUM(AJ$3:AJ$7)</f>
        <v>0</v>
      </c>
      <c r="AL3" s="20" t="s">
        <v>14</v>
      </c>
      <c r="AM3" s="21">
        <f t="shared" ref="AM3:AM7" si="23">COUNTIF(AN$10:AN1007,AL3)</f>
        <v>0</v>
      </c>
      <c r="AN3" s="22">
        <f t="shared" ref="AN3:AN7" si="24">AM3/SUM(AM$3:AM$7)</f>
        <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f t="shared" si="2"/>
        <v>0</v>
      </c>
      <c r="H4" s="20" t="s">
        <v>15</v>
      </c>
      <c r="I4" s="21">
        <f t="shared" si="3"/>
        <v>0</v>
      </c>
      <c r="J4" s="22">
        <f t="shared" si="4"/>
        <v>0</v>
      </c>
      <c r="K4" s="20" t="s">
        <v>15</v>
      </c>
      <c r="L4" s="21">
        <f t="shared" si="5"/>
        <v>0</v>
      </c>
      <c r="M4" s="22">
        <f t="shared" si="6"/>
        <v>0</v>
      </c>
      <c r="N4" s="20" t="s">
        <v>15</v>
      </c>
      <c r="O4" s="21">
        <f t="shared" si="7"/>
        <v>1</v>
      </c>
      <c r="P4" s="22">
        <f t="shared" si="8"/>
        <v>0.1111111111</v>
      </c>
      <c r="Q4" s="20" t="s">
        <v>15</v>
      </c>
      <c r="R4" s="21">
        <f t="shared" si="9"/>
        <v>3</v>
      </c>
      <c r="S4" s="22">
        <f t="shared" si="10"/>
        <v>0.1875</v>
      </c>
      <c r="T4" s="20" t="s">
        <v>15</v>
      </c>
      <c r="U4" s="21">
        <f t="shared" si="11"/>
        <v>2</v>
      </c>
      <c r="V4" s="22">
        <f t="shared" si="12"/>
        <v>0.1428571429</v>
      </c>
      <c r="W4" s="20" t="s">
        <v>15</v>
      </c>
      <c r="X4" s="21">
        <f t="shared" si="13"/>
        <v>0</v>
      </c>
      <c r="Y4" s="22">
        <f t="shared" si="14"/>
        <v>0</v>
      </c>
      <c r="Z4" s="20" t="s">
        <v>15</v>
      </c>
      <c r="AA4" s="21">
        <f t="shared" si="15"/>
        <v>0</v>
      </c>
      <c r="AB4" s="22">
        <f t="shared" si="16"/>
        <v>0</v>
      </c>
      <c r="AC4" s="20" t="s">
        <v>15</v>
      </c>
      <c r="AD4" s="21">
        <f t="shared" si="17"/>
        <v>2</v>
      </c>
      <c r="AE4" s="22">
        <f t="shared" si="18"/>
        <v>0.25</v>
      </c>
      <c r="AF4" s="20" t="s">
        <v>15</v>
      </c>
      <c r="AG4" s="21">
        <f t="shared" si="19"/>
        <v>3</v>
      </c>
      <c r="AH4" s="22">
        <f t="shared" si="20"/>
        <v>0.1764705882</v>
      </c>
      <c r="AI4" s="20" t="s">
        <v>15</v>
      </c>
      <c r="AJ4" s="21">
        <f t="shared" si="21"/>
        <v>0</v>
      </c>
      <c r="AK4" s="22">
        <f t="shared" si="22"/>
        <v>0</v>
      </c>
      <c r="AL4" s="20" t="s">
        <v>15</v>
      </c>
      <c r="AM4" s="21">
        <f t="shared" si="23"/>
        <v>0</v>
      </c>
      <c r="AN4" s="22">
        <f t="shared" si="24"/>
        <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0</v>
      </c>
      <c r="G5" s="22">
        <f t="shared" si="2"/>
        <v>0</v>
      </c>
      <c r="H5" s="20" t="s">
        <v>16</v>
      </c>
      <c r="I5" s="21">
        <f t="shared" si="3"/>
        <v>1</v>
      </c>
      <c r="J5" s="22">
        <f t="shared" si="4"/>
        <v>0.3333333333</v>
      </c>
      <c r="K5" s="20" t="s">
        <v>16</v>
      </c>
      <c r="L5" s="21">
        <f t="shared" si="5"/>
        <v>1</v>
      </c>
      <c r="M5" s="22">
        <f t="shared" si="6"/>
        <v>0.1</v>
      </c>
      <c r="N5" s="20" t="s">
        <v>16</v>
      </c>
      <c r="O5" s="21">
        <f t="shared" si="7"/>
        <v>4</v>
      </c>
      <c r="P5" s="22">
        <f t="shared" si="8"/>
        <v>0.4444444444</v>
      </c>
      <c r="Q5" s="20" t="s">
        <v>16</v>
      </c>
      <c r="R5" s="21">
        <f t="shared" si="9"/>
        <v>7</v>
      </c>
      <c r="S5" s="22">
        <f t="shared" si="10"/>
        <v>0.4375</v>
      </c>
      <c r="T5" s="20" t="s">
        <v>16</v>
      </c>
      <c r="U5" s="21">
        <f t="shared" si="11"/>
        <v>0</v>
      </c>
      <c r="V5" s="22">
        <f t="shared" si="12"/>
        <v>0</v>
      </c>
      <c r="W5" s="20" t="s">
        <v>16</v>
      </c>
      <c r="X5" s="21">
        <f t="shared" si="13"/>
        <v>1</v>
      </c>
      <c r="Y5" s="22">
        <f t="shared" si="14"/>
        <v>0.2</v>
      </c>
      <c r="Z5" s="20" t="s">
        <v>16</v>
      </c>
      <c r="AA5" s="21">
        <f t="shared" si="15"/>
        <v>0</v>
      </c>
      <c r="AB5" s="22">
        <f t="shared" si="16"/>
        <v>0</v>
      </c>
      <c r="AC5" s="20" t="s">
        <v>16</v>
      </c>
      <c r="AD5" s="21">
        <f t="shared" si="17"/>
        <v>0</v>
      </c>
      <c r="AE5" s="22">
        <f t="shared" si="18"/>
        <v>0</v>
      </c>
      <c r="AF5" s="20" t="s">
        <v>16</v>
      </c>
      <c r="AG5" s="21">
        <f t="shared" si="19"/>
        <v>5</v>
      </c>
      <c r="AH5" s="22">
        <f t="shared" si="20"/>
        <v>0.2941176471</v>
      </c>
      <c r="AI5" s="20" t="s">
        <v>16</v>
      </c>
      <c r="AJ5" s="21">
        <f t="shared" si="21"/>
        <v>0</v>
      </c>
      <c r="AK5" s="22">
        <f t="shared" si="22"/>
        <v>0</v>
      </c>
      <c r="AL5" s="20" t="s">
        <v>16</v>
      </c>
      <c r="AM5" s="21">
        <f t="shared" si="23"/>
        <v>0</v>
      </c>
      <c r="AN5" s="22">
        <f t="shared" si="24"/>
        <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3</v>
      </c>
      <c r="G6" s="22">
        <f t="shared" si="2"/>
        <v>0.5</v>
      </c>
      <c r="H6" s="20" t="s">
        <v>17</v>
      </c>
      <c r="I6" s="21">
        <f t="shared" si="3"/>
        <v>1</v>
      </c>
      <c r="J6" s="22">
        <f t="shared" si="4"/>
        <v>0.3333333333</v>
      </c>
      <c r="K6" s="20" t="s">
        <v>17</v>
      </c>
      <c r="L6" s="21">
        <f t="shared" si="5"/>
        <v>4</v>
      </c>
      <c r="M6" s="22">
        <f t="shared" si="6"/>
        <v>0.4</v>
      </c>
      <c r="N6" s="20" t="s">
        <v>17</v>
      </c>
      <c r="O6" s="21">
        <f t="shared" si="7"/>
        <v>0</v>
      </c>
      <c r="P6" s="22">
        <f t="shared" si="8"/>
        <v>0</v>
      </c>
      <c r="Q6" s="20" t="s">
        <v>17</v>
      </c>
      <c r="R6" s="21">
        <f t="shared" si="9"/>
        <v>4</v>
      </c>
      <c r="S6" s="22">
        <f t="shared" si="10"/>
        <v>0.25</v>
      </c>
      <c r="T6" s="20" t="s">
        <v>17</v>
      </c>
      <c r="U6" s="21">
        <f t="shared" si="11"/>
        <v>3</v>
      </c>
      <c r="V6" s="22">
        <f t="shared" si="12"/>
        <v>0.2142857143</v>
      </c>
      <c r="W6" s="20" t="s">
        <v>17</v>
      </c>
      <c r="X6" s="21">
        <f t="shared" si="13"/>
        <v>2</v>
      </c>
      <c r="Y6" s="22">
        <f t="shared" si="14"/>
        <v>0.4</v>
      </c>
      <c r="Z6" s="20" t="s">
        <v>17</v>
      </c>
      <c r="AA6" s="21">
        <f t="shared" si="15"/>
        <v>4</v>
      </c>
      <c r="AB6" s="22">
        <f t="shared" si="16"/>
        <v>0.6666666667</v>
      </c>
      <c r="AC6" s="20" t="s">
        <v>17</v>
      </c>
      <c r="AD6" s="21">
        <f t="shared" si="17"/>
        <v>2</v>
      </c>
      <c r="AE6" s="22">
        <f t="shared" si="18"/>
        <v>0.25</v>
      </c>
      <c r="AF6" s="20" t="s">
        <v>17</v>
      </c>
      <c r="AG6" s="21">
        <f t="shared" si="19"/>
        <v>5</v>
      </c>
      <c r="AH6" s="22">
        <f t="shared" si="20"/>
        <v>0.2941176471</v>
      </c>
      <c r="AI6" s="20" t="s">
        <v>17</v>
      </c>
      <c r="AJ6" s="21">
        <f t="shared" si="21"/>
        <v>1</v>
      </c>
      <c r="AK6" s="22">
        <f t="shared" si="22"/>
        <v>1</v>
      </c>
      <c r="AL6" s="20" t="s">
        <v>17</v>
      </c>
      <c r="AM6" s="21">
        <f t="shared" si="23"/>
        <v>0</v>
      </c>
      <c r="AN6" s="22">
        <f t="shared" si="24"/>
        <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3</v>
      </c>
      <c r="G7" s="22">
        <f t="shared" si="2"/>
        <v>0.5</v>
      </c>
      <c r="H7" s="20" t="s">
        <v>18</v>
      </c>
      <c r="I7" s="21">
        <f t="shared" si="3"/>
        <v>1</v>
      </c>
      <c r="J7" s="22">
        <f t="shared" si="4"/>
        <v>0.3333333333</v>
      </c>
      <c r="K7" s="20" t="s">
        <v>18</v>
      </c>
      <c r="L7" s="21">
        <f t="shared" si="5"/>
        <v>3</v>
      </c>
      <c r="M7" s="22">
        <f t="shared" si="6"/>
        <v>0.3</v>
      </c>
      <c r="N7" s="20" t="s">
        <v>18</v>
      </c>
      <c r="O7" s="21">
        <f t="shared" si="7"/>
        <v>3</v>
      </c>
      <c r="P7" s="22">
        <f t="shared" si="8"/>
        <v>0.3333333333</v>
      </c>
      <c r="Q7" s="20" t="s">
        <v>18</v>
      </c>
      <c r="R7" s="21">
        <f t="shared" si="9"/>
        <v>2</v>
      </c>
      <c r="S7" s="22">
        <f t="shared" si="10"/>
        <v>0.125</v>
      </c>
      <c r="T7" s="20" t="s">
        <v>18</v>
      </c>
      <c r="U7" s="21">
        <f t="shared" si="11"/>
        <v>9</v>
      </c>
      <c r="V7" s="22">
        <f t="shared" si="12"/>
        <v>0.6428571429</v>
      </c>
      <c r="W7" s="20" t="s">
        <v>18</v>
      </c>
      <c r="X7" s="21">
        <f t="shared" si="13"/>
        <v>2</v>
      </c>
      <c r="Y7" s="22">
        <f t="shared" si="14"/>
        <v>0.4</v>
      </c>
      <c r="Z7" s="20" t="s">
        <v>18</v>
      </c>
      <c r="AA7" s="21">
        <f t="shared" si="15"/>
        <v>1</v>
      </c>
      <c r="AB7" s="22">
        <f t="shared" si="16"/>
        <v>0.1666666667</v>
      </c>
      <c r="AC7" s="20" t="s">
        <v>18</v>
      </c>
      <c r="AD7" s="21">
        <f t="shared" si="17"/>
        <v>2</v>
      </c>
      <c r="AE7" s="22">
        <f t="shared" si="18"/>
        <v>0.25</v>
      </c>
      <c r="AF7" s="20" t="s">
        <v>18</v>
      </c>
      <c r="AG7" s="21">
        <f t="shared" si="19"/>
        <v>2</v>
      </c>
      <c r="AH7" s="22">
        <f t="shared" si="20"/>
        <v>0.1176470588</v>
      </c>
      <c r="AI7" s="20" t="s">
        <v>18</v>
      </c>
      <c r="AJ7" s="21">
        <f t="shared" si="21"/>
        <v>0</v>
      </c>
      <c r="AK7" s="22">
        <f t="shared" si="22"/>
        <v>0</v>
      </c>
      <c r="AL7" s="20" t="s">
        <v>18</v>
      </c>
      <c r="AM7" s="21">
        <f t="shared" si="23"/>
        <v>1</v>
      </c>
      <c r="AN7" s="22">
        <f t="shared" si="24"/>
        <v>1</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6</v>
      </c>
      <c r="G8" s="25">
        <f>SUM(G6:G7)</f>
        <v>1</v>
      </c>
      <c r="H8" s="24" t="s">
        <v>13</v>
      </c>
      <c r="I8" s="5">
        <f>SUM(I3:I7)</f>
        <v>3</v>
      </c>
      <c r="J8" s="25">
        <f>SUM(J6:J7)</f>
        <v>0.6666666667</v>
      </c>
      <c r="K8" s="24" t="s">
        <v>13</v>
      </c>
      <c r="L8" s="5">
        <f>SUM(L3:L7)</f>
        <v>10</v>
      </c>
      <c r="M8" s="25">
        <f>SUM(M6:M7)</f>
        <v>0.7</v>
      </c>
      <c r="N8" s="24" t="s">
        <v>13</v>
      </c>
      <c r="O8" s="5">
        <f>SUM(O3:O7)</f>
        <v>9</v>
      </c>
      <c r="P8" s="25">
        <f>SUM(P6:P7)</f>
        <v>0.3333333333</v>
      </c>
      <c r="Q8" s="24" t="s">
        <v>13</v>
      </c>
      <c r="R8" s="5">
        <f>SUM(R3:R7)</f>
        <v>16</v>
      </c>
      <c r="S8" s="25">
        <f>SUM(S6:S7)</f>
        <v>0.375</v>
      </c>
      <c r="T8" s="24" t="s">
        <v>13</v>
      </c>
      <c r="U8" s="5">
        <f>SUM(U3:U7)</f>
        <v>14</v>
      </c>
      <c r="V8" s="25">
        <f>SUM(V6:V7)</f>
        <v>0.8571428571</v>
      </c>
      <c r="W8" s="24" t="s">
        <v>13</v>
      </c>
      <c r="X8" s="5">
        <f>SUM(X3:X7)</f>
        <v>5</v>
      </c>
      <c r="Y8" s="25">
        <f>SUM(Y6:Y7)</f>
        <v>0.8</v>
      </c>
      <c r="Z8" s="24" t="s">
        <v>13</v>
      </c>
      <c r="AA8" s="5">
        <f>SUM(AA3:AA7)</f>
        <v>6</v>
      </c>
      <c r="AB8" s="25">
        <f>SUM(AB6:AB7)</f>
        <v>0.8333333333</v>
      </c>
      <c r="AC8" s="24" t="s">
        <v>13</v>
      </c>
      <c r="AD8" s="5">
        <f>SUM(AD3:AD7)</f>
        <v>8</v>
      </c>
      <c r="AE8" s="25">
        <f>SUM(AE6:AE7)</f>
        <v>0.5</v>
      </c>
      <c r="AF8" s="24" t="s">
        <v>13</v>
      </c>
      <c r="AG8" s="5">
        <f>SUM(AG3:AG7)</f>
        <v>17</v>
      </c>
      <c r="AH8" s="25">
        <f>SUM(AH6:AH7)</f>
        <v>0.4117647059</v>
      </c>
      <c r="AI8" s="24" t="s">
        <v>13</v>
      </c>
      <c r="AJ8" s="5">
        <f>SUM(AJ3:AJ7)</f>
        <v>1</v>
      </c>
      <c r="AK8" s="25">
        <f>SUM(AK6:AK7)</f>
        <v>1</v>
      </c>
      <c r="AL8" s="24" t="s">
        <v>13</v>
      </c>
      <c r="AM8" s="5">
        <f>SUM(AM3:AM7)</f>
        <v>1</v>
      </c>
      <c r="AN8" s="25">
        <f>SUM(AN6:AN7)</f>
        <v>1</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['deflect', 'kick', 'corner', 'shot', 'net']</v>
      </c>
      <c r="F9" s="28"/>
      <c r="G9" s="29"/>
      <c r="H9" s="27" t="str">
        <f>IF((COLUMN(H9) - 2)/3 = INT((COLUMN(H9) - 2)/3), INDIRECT("R1C"&amp;CEILING(4 + COLUMN(H9)/3,1), FALSE), "")</f>
        <v>['tackl', 'dribbl', 'yellow', 'red', 'card']</v>
      </c>
      <c r="I9" s="28"/>
      <c r="J9" s="29"/>
      <c r="K9" s="27" t="str">
        <f>IF((COLUMN(K9) - 2)/3 = INT((COLUMN(K9) - 2)/3), INDIRECT("R1C"&amp;CEILING(4 + COLUMN(K9)/3,1), FALSE), "")</f>
        <v>['goal', 'score', 'conced', 'equalis', 'offsid', 'assist']</v>
      </c>
      <c r="L9" s="28"/>
      <c r="M9" s="29"/>
      <c r="N9" s="27" t="str">
        <f>IF((COLUMN(N9) - 2)/3 = INT((COLUMN(N9) - 2)/3), INDIRECT("R1C"&amp;CEILING(4 + COLUMN(N9)/3,1), FALSE), "")</f>
        <v>['keeper', 'best', 'goalkeep', 'defend', 'EXCLUDED-kepa', 'save']</v>
      </c>
      <c r="O9" s="28"/>
      <c r="P9" s="29"/>
      <c r="Q9" s="27" t="str">
        <f>IF((COLUMN(Q9) - 2)/3 = INT((COLUMN(Q9) - 2)/3), INDIRECT("R1C"&amp;CEILING(4 + COLUMN(Q9)/3,1), FALSE), "")</f>
        <v>['take', 'knee', 'player']</v>
      </c>
      <c r="R9" s="28"/>
      <c r="S9" s="29"/>
      <c r="T9" s="27" t="str">
        <f>IF((COLUMN(T9) - 2)/3 = INT((COLUMN(T9) - 2)/3), INDIRECT("R1C"&amp;CEILING(4 + COLUMN(T9)/3,1), FALSE), "")</f>
        <v>['touch', 'cross', 'ball', 'pass']</v>
      </c>
      <c r="U9" s="28"/>
      <c r="V9" s="29"/>
      <c r="W9" s="27" t="str">
        <f>IF((COLUMN(W9) - 2)/3 = INT((COLUMN(W9) - 2)/3), INDIRECT("R1C"&amp;CEILING(4 + COLUMN(W9)/3,1), FALSE), "")</f>
        <v>['gol', 'stream', 'onlin', 'free', 'reddit', 'link', 'EXCLUDED-manchest', 'ff', 'live']</v>
      </c>
      <c r="X9" s="28"/>
      <c r="Y9" s="29"/>
      <c r="Z9" s="27" t="str">
        <f>IF((COLUMN(Z9) - 2)/3 = INT((COLUMN(Z9) - 2)/3), INDIRECT("R1C"&amp;CEILING(4 + COLUMN(Z9)/3,1), FALSE), "")</f>
        <v>['need', 'half', 'sub', 'second', 'lead', '2nd']</v>
      </c>
      <c r="AA9" s="28"/>
      <c r="AB9" s="29"/>
      <c r="AC9" s="27" t="str">
        <f>IF((COLUMN(AC9) - 2)/3 = INT((COLUMN(AC9) - 2)/3), INDIRECT("R1C"&amp;CEILING(4 + COLUMN(AC9)/3,1), FALSE), "")</f>
        <v>['world', 'class', 'striker']</v>
      </c>
      <c r="AD9" s="28"/>
      <c r="AE9" s="29"/>
      <c r="AF9" s="27" t="str">
        <f>IF((COLUMN(AF9) - 2)/3 = INT((COLUMN(AF9) - 2)/3), INDIRECT("R1C"&amp;CEILING(4 + COLUMN(AF9)/3,1), FALSE), "")</f>
        <v>['champion', 'final', 'leagu', 'footbal', 'win']</v>
      </c>
      <c r="AG9" s="28"/>
      <c r="AH9" s="29"/>
      <c r="AI9" s="27" t="str">
        <f>IF((COLUMN(AI9) - 2)/3 = INT((COLUMN(AI9) - 2)/3), INDIRECT("R1C"&amp;CEILING(4 + COLUMN(AI9)/3,1), FALSE), "")</f>
        <v>['hit', 'post']</v>
      </c>
      <c r="AJ9" s="28"/>
      <c r="AK9" s="29"/>
      <c r="AL9" s="27" t="str">
        <f>IF((COLUMN(AL9) - 2)/3 = INT((COLUMN(AL9) - 2)/3), INDIRECT("R1C"&amp;CEILING(4 + COLUMN(AL9)/3,1), FALSE), "")</f>
        <v>['foul', 'refere', 'book', 'decis', 'var', 'given', 'pen', 'dive', 'ref', 'penalti']</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NOT(ISERROR($E3:DF3))))"),8.0)</f>
        <v>8</v>
      </c>
      <c r="D10" s="26">
        <f t="shared" ref="D10:D14" si="63">$C10/$C$15</f>
        <v>0.08333333333</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NOT(ISERROR($E4:DF4))))"),11.0)</f>
        <v>11</v>
      </c>
      <c r="D11" s="26">
        <f t="shared" si="63"/>
        <v>0.1145833333</v>
      </c>
      <c r="E11" s="40">
        <f>IFERROR(__xludf.DUMMYFUNCTION("""COMPUTED_VALUE"""),44366.54221064815)</f>
        <v>44366.54221</v>
      </c>
      <c r="F11" s="5" t="str">
        <f>IFERROR(__xludf.DUMMYFUNCTION("""COMPUTED_VALUE"""),"EURO 2020 Kick-off in Budapest! Hungary Vs France ⚽. What are your predictions? ⚽️ KICK-OFF! 🇭🇺🆚🇫🇷. ℹ️ Group F, matchday 2. 🤔 What will happen in Budapest? EURO 2020. Kick-off ⚽️ Here. We go. Allez Les Bleus!!! #HUNFRA Fiersdetre Bleus.")</f>
        <v>EURO 2020 Kick-off in Budapest! Hungary Vs France ⚽. What are your predictions? ⚽️ KICK-OFF! 🇭🇺🆚🇫🇷. ℹ️ Group F, matchday 2. 🤔 What will happen in Budapest? EURO 2020. Kick-off ⚽️ Here. We go. Allez Les Bleus!!! #HUNFRA Fiersdetre Bleus.</v>
      </c>
      <c r="G11" s="39" t="s">
        <v>17</v>
      </c>
      <c r="H11" s="40">
        <f>IFERROR(__xludf.DUMMYFUNCTION("""COMPUTED_VALUE"""),44366.54890046296)</f>
        <v>44366.5489</v>
      </c>
      <c r="I11" s="5" t="str">
        <f>IFERROR(__xludf.DUMMYFUNCTION("""COMPUTED_VALUE"""),"PAVARD YELLOW ! 🤦‍♂️. EURO 2020 #HUNFRA reference should give 2 yellow cards - Varane and Pavard! Pavard’s looking to get a red card. Mello Yellow Pavard. Pavard is gonna get cooked after that yellow on that flank. 📸 - Pavard on a yellow card already, w"&amp;"ithin 10 minutes..")</f>
        <v>PAVARD YELLOW ! 🤦‍♂️. EURO 2020 #HUNFRA reference should give 2 yellow cards - Varane and Pavard! Pavard’s looking to get a red card. Mello Yellow Pavard. Pavard is gonna get cooked after that yellow on that flank. 📸 - Pavard on a yellow card already, within 10 minutes..</v>
      </c>
      <c r="J11" s="39" t="s">
        <v>17</v>
      </c>
      <c r="K11" s="40">
        <f>IFERROR(__xludf.DUMMYFUNCTION("""COMPUTED_VALUE"""),44366.55122685185)</f>
        <v>44366.55123</v>
      </c>
      <c r="L11" s="5" t="str">
        <f>IFERROR(__xludf.DUMMYFUNCTION("""COMPUTED_VALUE"""),"Griezmann eh score that wtf lmao even if it offside. I know he's offside but that's so poor from Griezmann. Offside but Griezmann has to find the back of the net there. Griezmann lucky he was offsides bc that was a terrible miss.")</f>
        <v>Griezmann eh score that wtf lmao even if it offside. I know he's offside but that's so poor from Griezmann. Offside but Griezmann has to find the back of the net there. Griezmann lucky he was offsides bc that was a terrible miss.</v>
      </c>
      <c r="M11" s="39" t="s">
        <v>18</v>
      </c>
      <c r="N11" s="40">
        <f>IFERROR(__xludf.DUMMYFUNCTION("""COMPUTED_VALUE"""),44366.55136574074)</f>
        <v>44366.55137</v>
      </c>
      <c r="O11" s="5" t="str">
        <f>IFERROR(__xludf.DUMMYFUNCTION("""COMPUTED_VALUE"""),"Fantastic save from the GK. #HUN. Good save but Griezmann should be scoring there. Almost benzema good save by the keeper. Great save by Gulasci after his own error. Offside though.. EURO 2020. Whatta double save! EURO 2020 #HUNFRA. Gulacsi mate. What a s"&amp;"ave. #HUNFRA.")</f>
        <v>Fantastic save from the GK. #HUN. Good save but Griezmann should be scoring there. Almost benzema good save by the keeper. Great save by Gulasci after his own error. Offside though.. EURO 2020. Whatta double save! EURO 2020 #HUNFRA. Gulacsi mate. What a save. #HUNFRA.</v>
      </c>
      <c r="P11" s="39" t="s">
        <v>18</v>
      </c>
      <c r="Q11" s="40">
        <f>IFERROR(__xludf.DUMMYFUNCTION("""COMPUTED_VALUE"""),44366.552719907406)</f>
        <v>44366.55272</v>
      </c>
      <c r="R11" s="5" t="str">
        <f>IFERROR(__xludf.DUMMYFUNCTION("""COMPUTED_VALUE"""),"What a player Kante is. KANTE, What a Player. DRIVER. Kanté best player in the world?? Arguably. Don’t @ me. I fucking love watching the little wizard. #FRA. Kante’s ability to glide past players with such speed is incredible. Kante is an infinitely great"&amp;"er player than Pogba.")</f>
        <v>What a player Kante is. KANTE, What a Player. DRIVER. Kanté best player in the world?? Arguably. Don’t @ me. I fucking love watching the little wizard. #FRA. Kante’s ability to glide past players with such speed is incredible. Kante is an infinitely greater player than Pogba.</v>
      </c>
      <c r="S11" s="39" t="s">
        <v>16</v>
      </c>
      <c r="T11" s="40">
        <f>IFERROR(__xludf.DUMMYFUNCTION("""COMPUTED_VALUE"""),44366.55273148148)</f>
        <v>44366.55273</v>
      </c>
      <c r="U11" s="5" t="str">
        <f>IFERROR(__xludf.DUMMYFUNCTION("""COMPUTED_VALUE"""),"Kante what a run! Hand him the ball on d'or asap! Kante all alone passed 3/4 of the players im yelling. Digne's crosses are so good. Mbappe should have done better with that. Kylian kylian kylian that was so close that pass from digne 🔥.")</f>
        <v>Kante what a run! Hand him the ball on d'or asap! Kante all alone passed 3/4 of the players im yelling. Digne's crosses are so good. Mbappe should have done better with that. Kylian kylian kylian that was so close that pass from digne 🔥.</v>
      </c>
      <c r="V11" s="39" t="s">
        <v>18</v>
      </c>
      <c r="W11" s="40">
        <f>IFERROR(__xludf.DUMMYFUNCTION("""COMPUTED_VALUE"""),44366.55390046297)</f>
        <v>44366.5539</v>
      </c>
      <c r="X11" s="5" t="str">
        <f>IFERROR(__xludf.DUMMYFUNCTION("""COMPUTED_VALUE"""),"Mbappe with another free header wa o. Mbappe ffsss. Digne and Mbappe link up. 8 yards out free header 200 mill mbappe get fucked. Quase gol do mbappe. We’ve only made one 100m+ signing in 7 years ffs. Wake up Real Madrid C.F. sancho haaland and mbappe are"&amp;" all available.")</f>
        <v>Mbappe with another free header wa o. Mbappe ffsss. Digne and Mbappe link up. 8 yards out free header 200 mill mbappe get fucked. Quase gol do mbappe. We’ve only made one 100m+ signing in 7 years ffs. Wake up Real Madrid C.F. sancho haaland and mbappe are all available.</v>
      </c>
      <c r="Y11" s="39" t="s">
        <v>18</v>
      </c>
      <c r="Z11" s="40">
        <f>IFERROR(__xludf.DUMMYFUNCTION("""COMPUTED_VALUE"""),44366.563518518524)</f>
        <v>44366.56352</v>
      </c>
      <c r="AA11" s="5" t="str">
        <f>IFERROR(__xludf.DUMMYFUNCTION("""COMPUTED_VALUE"""),"Benzema should be subbed off immediately for ruining that. That would’ve been such a good goal ffsss. Griezmann ball over the top, Mbappe touch and reverse pass, Benzema half volley. Benzema isn’t even half the player giroud is for France. I need a goal f"&amp;"rom Benzema now. Come on.")</f>
        <v>Benzema should be subbed off immediately for ruining that. That would’ve been such a good goal ffsss. Griezmann ball over the top, Mbappe touch and reverse pass, Benzema half volley. Benzema isn’t even half the player giroud is for France. I need a goal from Benzema now. Come on.</v>
      </c>
      <c r="AB11" s="39" t="s">
        <v>18</v>
      </c>
      <c r="AC11" s="40">
        <f>IFERROR(__xludf.DUMMYFUNCTION("""COMPUTED_VALUE"""),44366.563564814816)</f>
        <v>44366.56356</v>
      </c>
      <c r="AD11" s="5" t="str">
        <f>IFERROR(__xludf.DUMMYFUNCTION("""COMPUTED_VALUE"""),"And that’s why Giroud is France’s best striker…. So class from mbappe. Smh look at this pipe of a striker called benzema. Oh my, that was class. Benzema needs to do better... Benzema out here missing sitters. My striker couldn’t. Benzema knows what he’s d"&amp;"oing. My striker 😻.")</f>
        <v>And that’s why Giroud is France’s best striker…. So class from mbappe. Smh look at this pipe of a striker called benzema. Oh my, that was class. Benzema needs to do better... Benzema out here missing sitters. My striker couldn’t. Benzema knows what he’s doing. My striker 😻.</v>
      </c>
      <c r="AE11" s="39" t="s">
        <v>15</v>
      </c>
      <c r="AF11" s="40">
        <f>IFERROR(__xludf.DUMMYFUNCTION("""COMPUTED_VALUE"""),44366.56412037037)</f>
        <v>44366.56412</v>
      </c>
      <c r="AG11" s="5" t="str">
        <f>IFERROR(__xludf.DUMMYFUNCTION("""COMPUTED_VALUE"""),"If mbappe and benzema eventually click properly in this tournament, they will most likely win. Master class final pass from Mbappe, very poor delivery from Benzema.. EURO 2020. If Mbappe joins the reds I’m giving up on football. Mbappe is the best footbal"&amp;"ler in the world man.")</f>
        <v>If mbappe and benzema eventually click properly in this tournament, they will most likely win. Master class final pass from Mbappe, very poor delivery from Benzema.. EURO 2020. If Mbappe joins the reds I’m giving up on football. Mbappe is the best footballer in the world man.</v>
      </c>
      <c r="AH11" s="39" t="s">
        <v>18</v>
      </c>
      <c r="AI11" s="40">
        <f>IFERROR(__xludf.DUMMYFUNCTION("""COMPUTED_VALUE"""),44366.57519675926)</f>
        <v>44366.5752</v>
      </c>
      <c r="AJ11" s="5" t="str">
        <f>IFERROR(__xludf.DUMMYFUNCTION("""COMPUTED_VALUE"""),"Lloris getting beat near post…. Lloris left a gaping gap at his near post. It’s like Lloris only got one arm... he’s so bad on his near post. Lloris beaten at near post. Shockingly over rated keeper. Lloris moving like ddg and ter stegen at the near post"&amp;"😭.")</f>
        <v>Lloris getting beat near post…. Lloris left a gaping gap at his near post. It’s like Lloris only got one arm... he’s so bad on his near post. Lloris beaten at near post. Shockingly over rated keeper. Lloris moving like ddg and ter stegen at the near post😭.</v>
      </c>
      <c r="AK11" s="39" t="s">
        <v>17</v>
      </c>
      <c r="AL11" s="40">
        <f>IFERROR(__xludf.DUMMYFUNCTION("""COMPUTED_VALUE"""),44366.62149305556)</f>
        <v>44366.62149</v>
      </c>
      <c r="AM11" s="5" t="str">
        <f>IFERROR(__xludf.DUMMYFUNCTION("""COMPUTED_VALUE"""),"Looks a foul on kimpembe , should be a Pen for #FRA. Penalty to France no? Kimpembe rugby tackled 😂. Tirage de maillot sur kimpembe penalty allo ? They want to give #fra a penalty 🤣🤣🤣. That has to be a penalty EURO 2020. That's a penalty for the attem"&amp;"pted undressing of Kimpembe.")</f>
        <v>Looks a foul on kimpembe , should be a Pen for #FRA. Penalty to France no? Kimpembe rugby tackled 😂. Tirage de maillot sur kimpembe penalty allo ? They want to give #fra a penalty 🤣🤣🤣. That has to be a penalty EURO 2020. That's a penalty for the attempted undressing of Kimpembe.</v>
      </c>
      <c r="AN11" s="39" t="s">
        <v>18</v>
      </c>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NOT(ISERROR($E5:DF5))))"),19.0)</f>
        <v>19</v>
      </c>
      <c r="D12" s="26">
        <f t="shared" si="63"/>
        <v>0.1979166667</v>
      </c>
      <c r="E12" s="40">
        <f>IFERROR(__xludf.DUMMYFUNCTION("""COMPUTED_VALUE"""),44366.56040509259)</f>
        <v>44366.56041</v>
      </c>
      <c r="F12" s="5" t="str">
        <f>IFERROR(__xludf.DUMMYFUNCTION("""COMPUTED_VALUE"""),"Why is mbappe taking free kicks? 😭. This Mbappe ego 🤢🤢. Now he wants to play the Free-kick. That must’ve hurt bro getting a shot from mbappe to the face😭😭😭. Oh le head shot de mbappe la. Mbappe lining up for a free kick una 😂. Seriously Has mbappe "&amp;"ever scored a free kick goal?")</f>
        <v>Why is mbappe taking free kicks? 😭. This Mbappe ego 🤢🤢. Now he wants to play the Free-kick. That must’ve hurt bro getting a shot from mbappe to the face😭😭😭. Oh le head shot de mbappe la. Mbappe lining up for a free kick una 😂. Seriously Has mbappe ever scored a free kick goal?</v>
      </c>
      <c r="G12" s="39" t="s">
        <v>18</v>
      </c>
      <c r="H12" s="40">
        <f>IFERROR(__xludf.DUMMYFUNCTION("""COMPUTED_VALUE"""),44366.57662037037)</f>
        <v>44366.57662</v>
      </c>
      <c r="I12" s="5" t="str">
        <f>IFERROR(__xludf.DUMMYFUNCTION("""COMPUTED_VALUE"""),"Lol kante dribbling 😂🤦🏾‍♂️. Why Kante try to dribble every time he got the ball????? Kante Trying To Dribble His Way Outta Pressure. Dude If You Don’t Go Tackle. Kante not having a good game. Forcing dribbles and it is not quite working for him. Kante "&amp;"trying to dribble 😭.")</f>
        <v>Lol kante dribbling 😂🤦🏾‍♂️. Why Kante try to dribble every time he got the ball????? Kante Trying To Dribble His Way Outta Pressure. Dude If You Don’t Go Tackle. Kante not having a good game. Forcing dribbles and it is not quite working for him. Kante trying to dribble 😭.</v>
      </c>
      <c r="J12" s="39" t="s">
        <v>18</v>
      </c>
      <c r="K12" s="40">
        <f>IFERROR(__xludf.DUMMYFUNCTION("""COMPUTED_VALUE"""),44366.55365740741)</f>
        <v>44366.55366</v>
      </c>
      <c r="L12" s="5" t="str">
        <f>IFERROR(__xludf.DUMMYFUNCTION("""COMPUTED_VALUE"""),"Mbappe that is a goal na wtf. 🇫🇷 Vs 🇭🇺 starts in about 40 minutes from now!. ⚽️do you think the goal scorers will be?. 🏆Who wins the match, vote below! #FRAHUN #mbappe. Mbappe just wasted a Digne assist. Mbappe should have scored there. Ufff, I thoug"&amp;"ht Mbappe had scored that.")</f>
        <v>Mbappe that is a goal na wtf. 🇫🇷 Vs 🇭🇺 starts in about 40 minutes from now!. ⚽️do you think the goal scorers will be?. 🏆Who wins the match, vote below! #FRAHUN #mbappe. Mbappe just wasted a Digne assist. Mbappe should have scored there. Ufff, I thought Mbappe had scored that.</v>
      </c>
      <c r="M12" s="39" t="s">
        <v>18</v>
      </c>
      <c r="N12" s="40">
        <f>IFERROR(__xludf.DUMMYFUNCTION("""COMPUTED_VALUE"""),44366.55299768518)</f>
        <v>44366.553</v>
      </c>
      <c r="O12" s="5" t="str">
        <f>IFERROR(__xludf.DUMMYFUNCTION("""COMPUTED_VALUE"""),"Kante and Pogba is the best pivot in world football. Kante is the second best player in the world ((after Neymar)) Ngolo Kante, best player in the World 💙. Kante is the best player in the world at the moment. No cap. Kante is the best midfielder in the w"&amp;"orld btw.")</f>
        <v>Kante and Pogba is the best pivot in world football. Kante is the second best player in the world ((after Neymar)) Ngolo Kante, best player in the World 💙. Kante is the best player in the world at the moment. No cap. Kante is the best midfielder in the world btw.</v>
      </c>
      <c r="P12" s="39" t="s">
        <v>16</v>
      </c>
      <c r="Q12" s="40">
        <f>IFERROR(__xludf.DUMMYFUNCTION("""COMPUTED_VALUE"""),44366.560266203705)</f>
        <v>44366.56027</v>
      </c>
      <c r="R12" s="5" t="str">
        <f>IFERROR(__xludf.DUMMYFUNCTION("""COMPUTED_VALUE"""),"Why did Mbappe take that freekick ??? Ffs why does mbappe take it? Digne is goated with free kicks. Arguably the best free kick taker in that French squad. Mbappe tryna take freekicks loool😭. Can these Hungary players stop getting shot in the head I wann"&amp;"a watch Mbappe.")</f>
        <v>Why did Mbappe take that freekick ??? Ffs why does mbappe take it? Digne is goated with free kicks. Arguably the best free kick taker in that French squad. Mbappe tryna take freekicks loool😭. Can these Hungary players stop getting shot in the head I wanna watch Mbappe.</v>
      </c>
      <c r="S12" s="39" t="s">
        <v>18</v>
      </c>
      <c r="T12" s="40">
        <f>IFERROR(__xludf.DUMMYFUNCTION("""COMPUTED_VALUE"""),44366.56327546296)</f>
        <v>44366.56328</v>
      </c>
      <c r="U12" s="5" t="str">
        <f>IFERROR(__xludf.DUMMYFUNCTION("""COMPUTED_VALUE"""),"Mbappe don use ball blow person head. What's France doing. Beautiful pass from Mbappe and yet another chance missed. That touch and lay off by Mbappe 🔥. Look at that ball from grizzou and the flick by mbappe 😍😍. Mbappe what pass but what did Benzema do"&amp;" 😭😭.")</f>
        <v>Mbappe don use ball blow person head. What's France doing. Beautiful pass from Mbappe and yet another chance missed. That touch and lay off by Mbappe 🔥. Look at that ball from grizzou and the flick by mbappe 😍😍. Mbappe what pass but what did Benzema do 😭😭.</v>
      </c>
      <c r="V12" s="39" t="s">
        <v>18</v>
      </c>
      <c r="W12" s="40">
        <f>IFERROR(__xludf.DUMMYFUNCTION("""COMPUTED_VALUE"""),44366.56054398148)</f>
        <v>44366.56054</v>
      </c>
      <c r="X12" s="5" t="str">
        <f>IFERROR(__xludf.DUMMYFUNCTION("""COMPUTED_VALUE"""),"Surely Digne takes the free kick ? Why is mbappe taking free kicks? 😭. Should’ve put Digne on the free kick. Ffs why does mbappe take it? Digne is goated with free kicks. Arguably the best free kick taker in that French squad. Why’s Benzema not on free k"&amp;"icks.")</f>
        <v>Surely Digne takes the free kick ? Why is mbappe taking free kicks? 😭. Should’ve put Digne on the free kick. Ffs why does mbappe take it? Digne is goated with free kicks. Arguably the best free kick taker in that French squad. Why’s Benzema not on free kicks.</v>
      </c>
      <c r="Y12" s="39" t="s">
        <v>18</v>
      </c>
      <c r="Z12" s="40">
        <f>IFERROR(__xludf.DUMMYFUNCTION("""COMPUTED_VALUE"""),44366.57405092593)</f>
        <v>44366.57405</v>
      </c>
      <c r="AA12" s="5" t="str">
        <f>IFERROR(__xludf.DUMMYFUNCTION("""COMPUTED_VALUE"""),"Hungary have taken the lead against France! 1-0 #HUNFRA. Kante error leading to goal? Give him the ballon dor 🥶🥶🥶. Wow #HUN take the lead, what a clinical finish. They lead 1-0 just before half-time. #HUNFRA. Hungary take the lead at the stroke of HT !"&amp;" #HUNFRA.")</f>
        <v>Hungary have taken the lead against France! 1-0 #HUNFRA. Kante error leading to goal? Give him the ballon dor 🥶🥶🥶. Wow #HUN take the lead, what a clinical finish. They lead 1-0 just before half-time. #HUNFRA. Hungary take the lead at the stroke of HT ! #HUNFRA.</v>
      </c>
      <c r="AB12" s="39" t="s">
        <v>17</v>
      </c>
      <c r="AC12" s="40">
        <f>IFERROR(__xludf.DUMMYFUNCTION("""COMPUTED_VALUE"""),44366.567245370374)</f>
        <v>44366.56725</v>
      </c>
      <c r="AD12" s="5" t="str">
        <f>IFERROR(__xludf.DUMMYFUNCTION("""COMPUTED_VALUE"""),"Still in awe of that touch and pass from Mbappe, would have been a class assist. Peep the touch and creativity from Mbappe, class..")</f>
        <v>Still in awe of that touch and pass from Mbappe, would have been a class assist. Peep the touch and creativity from Mbappe, class..</v>
      </c>
      <c r="AE12" s="39" t="s">
        <v>18</v>
      </c>
      <c r="AF12" s="40">
        <f>IFERROR(__xludf.DUMMYFUNCTION("""COMPUTED_VALUE"""),44366.566608796296)</f>
        <v>44366.56661</v>
      </c>
      <c r="AG12" s="5" t="str">
        <f>IFERROR(__xludf.DUMMYFUNCTION("""COMPUTED_VALUE"""),"Benzema should stick to videoing valbuena imo bring giroud on and France win 8-0. France are winning rn if Giroud is on the pitch. If they really want to win they should bring on CL Winner Olivier Giroud. Bring Lemar or Tolisso on for Rabiot, he's not a f"&amp;"ootballer.")</f>
        <v>Benzema should stick to videoing valbuena imo bring giroud on and France win 8-0. France are winning rn if Giroud is on the pitch. If they really want to win they should bring on CL Winner Olivier Giroud. Bring Lemar or Tolisso on for Rabiot, he's not a footballer.</v>
      </c>
      <c r="AH12" s="39" t="s">
        <v>16</v>
      </c>
      <c r="AK12" s="5"/>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NOT(ISERROR($E6:DF6))))"),29.0)</f>
        <v>29</v>
      </c>
      <c r="D13" s="26">
        <f t="shared" si="63"/>
        <v>0.3020833333</v>
      </c>
      <c r="E13" s="40">
        <f>IFERROR(__xludf.DUMMYFUNCTION("""COMPUTED_VALUE"""),44366.56418981482)</f>
        <v>44366.56419</v>
      </c>
      <c r="F13" s="5" t="str">
        <f>IFERROR(__xludf.DUMMYFUNCTION("""COMPUTED_VALUE"""),"LOL that’s the kinda shots Giroud slaps in. If only this Benzema shot had the accuracy of the previous attempt. The reason why Harry Kane hasn’t even had a shot on target in EURO 2020. Such a poor shot by Benzema. France could be leading now if it was on "&amp;"target!! #FRA EURO 2020.")</f>
        <v>LOL that’s the kinda shots Giroud slaps in. If only this Benzema shot had the accuracy of the previous attempt. The reason why Harry Kane hasn’t even had a shot on target in EURO 2020. Such a poor shot by Benzema. France could be leading now if it was on target!! #FRA EURO 2020.</v>
      </c>
      <c r="G13" s="39" t="s">
        <v>18</v>
      </c>
      <c r="H13" s="40">
        <f>IFERROR(__xludf.DUMMYFUNCTION("""COMPUTED_VALUE"""),44366.601273148146)</f>
        <v>44366.60127</v>
      </c>
      <c r="I13" s="5" t="str">
        <f>IFERROR(__xludf.DUMMYFUNCTION("""COMPUTED_VALUE"""),"Mbappe's dribbling is worse than Ronaldo dfkm. Pavard needs to get a second yellow there…. Pavard might see red this game he needs to come off. Pavard fit collect red o. If pavard gets a red I know they're gonna be sick. Pavard on the yellow/red card knof"&amp;"e’a edge #HUNFRA.")</f>
        <v>Mbappe's dribbling is worse than Ronaldo dfkm. Pavard needs to get a second yellow there…. Pavard might see red this game he needs to come off. Pavard fit collect red o. If pavard gets a red I know they're gonna be sick. Pavard on the yellow/red card knofe’a edge #HUNFRA.</v>
      </c>
      <c r="J13" s="39" t="s">
        <v>16</v>
      </c>
      <c r="K13" s="40">
        <f>IFERROR(__xludf.DUMMYFUNCTION("""COMPUTED_VALUE"""),44366.56297453704)</f>
        <v>44366.56297</v>
      </c>
      <c r="L13" s="5" t="str">
        <f>IFERROR(__xludf.DUMMYFUNCTION("""COMPUTED_VALUE"""),"Giroud is scoring that just saying 🙃. Get this benzema out of my sight. Giroud scores there! That would have been an easy goal for Giroud. Nahh, if Giroud plays, France will be leading by 2 or 3 goals ady 😂. #HUNFRA. Giroud will score this goal falaaaaa"&amp;".")</f>
        <v>Giroud is scoring that just saying 🙃. Get this benzema out of my sight. Giroud scores there! That would have been an easy goal for Giroud. Nahh, if Giroud plays, France will be leading by 2 or 3 goals ady 😂. #HUNFRA. Giroud will score this goal falaaaaa.</v>
      </c>
      <c r="M13" s="39" t="s">
        <v>16</v>
      </c>
      <c r="N13" s="40">
        <f>IFERROR(__xludf.DUMMYFUNCTION("""COMPUTED_VALUE"""),44366.575104166666)</f>
        <v>44366.5751</v>
      </c>
      <c r="O13" s="5" t="str">
        <f>IFERROR(__xludf.DUMMYFUNCTION("""COMPUTED_VALUE"""),"Lloris is not a very good keeper is he #HUNFRA. Lloris should've saved that man. How is this guy still their #1 let alone captain. Lloris should save that. Also, Lloris is a very very average goalkeeper. That’s not on Lloris. Defenders left him one on one"&amp;".")</f>
        <v>Lloris is not a very good keeper is he #HUNFRA. Lloris should've saved that man. How is this guy still their #1 let alone captain. Lloris should save that. Also, Lloris is a very very average goalkeeper. That’s not on Lloris. Defenders left him one on one.</v>
      </c>
      <c r="P13" s="39" t="s">
        <v>16</v>
      </c>
      <c r="Q13" s="40">
        <f>IFERROR(__xludf.DUMMYFUNCTION("""COMPUTED_VALUE"""),44366.56384259259)</f>
        <v>44366.56384</v>
      </c>
      <c r="R13" s="5" t="str">
        <f>IFERROR(__xludf.DUMMYFUNCTION("""COMPUTED_VALUE"""),"Benzema isn’t even half the player giroud is for France. Benzema is really taking the piss now. Benzema is just running and playing passes into the Hungary players man😂😂😂. #Benzema is one of the most overrated players out there. #HUNFRA.")</f>
        <v>Benzema isn’t even half the player giroud is for France. Benzema is really taking the piss now. Benzema is just running and playing passes into the Hungary players man😂😂😂. #Benzema is one of the most overrated players out there. #HUNFRA.</v>
      </c>
      <c r="S13" s="39" t="s">
        <v>16</v>
      </c>
      <c r="T13" s="40">
        <f>IFERROR(__xludf.DUMMYFUNCTION("""COMPUTED_VALUE"""),44366.567245370374)</f>
        <v>44366.56725</v>
      </c>
      <c r="U13" s="5" t="str">
        <f>IFERROR(__xludf.DUMMYFUNCTION("""COMPUTED_VALUE"""),"📸 - Another good chance for France to score but Benzema with a poor pass.. Peep the touch and creativity from Mbappe, class..")</f>
        <v>📸 - Another good chance for France to score but Benzema with a poor pass.. Peep the touch and creativity from Mbappe, class..</v>
      </c>
      <c r="V13" s="39" t="s">
        <v>18</v>
      </c>
      <c r="W13" s="40">
        <f>IFERROR(__xludf.DUMMYFUNCTION("""COMPUTED_VALUE"""),44366.56321759259)</f>
        <v>44366.56322</v>
      </c>
      <c r="X13" s="5" t="str">
        <f>IFERROR(__xludf.DUMMYFUNCTION("""COMPUTED_VALUE"""),"Get Giroud back ffs. NOOO BENZEMA THAT PASS FFSSS. See Benzema too ffs. How’s Benzema missed that ffs. Remove this dead striker and put Giroud ffs. Benzema just robbed Mbappe of a filthy assist ffs. Bring Giroud in, these guys are incapable of finishing f"&amp;"fs. Ffs bring giroud on!")</f>
        <v>Get Giroud back ffs. NOOO BENZEMA THAT PASS FFSSS. See Benzema too ffs. How’s Benzema missed that ffs. Remove this dead striker and put Giroud ffs. Benzema just robbed Mbappe of a filthy assist ffs. Bring Giroud in, these guys are incapable of finishing ffs. Ffs bring giroud on!</v>
      </c>
      <c r="Y13" s="39" t="s">
        <v>16</v>
      </c>
      <c r="Z13" s="40">
        <f>IFERROR(__xludf.DUMMYFUNCTION("""COMPUTED_VALUE"""),44366.588368055556)</f>
        <v>44366.58837</v>
      </c>
      <c r="AA13" s="5" t="str">
        <f>IFERROR(__xludf.DUMMYFUNCTION("""COMPUTED_VALUE"""),"Hungary lead at half-time. 🇭🇺1-0 🇫🇷 #HUNFRA Fiersdetre Bleus. #HUN strike first and lead #FRA 1-0 at halftime💥. (🎥: TUDN USA). A shocker in the making? #HUN leads #FRA!. (via ESPN FC). #HUN mood after taking the lead against the World Champs 😤.")</f>
        <v>Hungary lead at half-time. 🇭🇺1-0 🇫🇷 #HUNFRA Fiersdetre Bleus. #HUN strike first and lead #FRA 1-0 at halftime💥. (🎥: TUDN USA). A shocker in the making? #HUN leads #FRA!. (via ESPN FC). #HUN mood after taking the lead against the World Champs 😤.</v>
      </c>
      <c r="AB13" s="39" t="s">
        <v>14</v>
      </c>
      <c r="AC13" s="40">
        <f>IFERROR(__xludf.DUMMYFUNCTION("""COMPUTED_VALUE"""),44366.574687500004)</f>
        <v>44366.57469</v>
      </c>
      <c r="AD13" s="5" t="str">
        <f>IFERROR(__xludf.DUMMYFUNCTION("""COMPUTED_VALUE"""),"Tokono World Champions #Fra. Puskas Arena erupts. 1-0 against world champions. What a goal against world champions 😍😍😍. #HUN. Can you believe it. Hungary 1 - world Champions 0 #FRAHUN. OH MY WORD! HUNGARY HAVE TAKEN THE LEAD AGAINST THE WORLD CHAMPIONS"&amp;"! 🤩. EURO 2020 Euro Fantasy.")</f>
        <v>Tokono World Champions #Fra. Puskas Arena erupts. 1-0 against world champions. What a goal against world champions 😍😍😍. #HUN. Can you believe it. Hungary 1 - world Champions 0 #FRAHUN. OH MY WORD! HUNGARY HAVE TAKEN THE LEAD AGAINST THE WORLD CHAMPIONS! 🤩. EURO 2020 Euro Fantasy.</v>
      </c>
      <c r="AE13" s="39" t="s">
        <v>17</v>
      </c>
      <c r="AF13" s="40">
        <f>IFERROR(__xludf.DUMMYFUNCTION("""COMPUTED_VALUE"""),44366.5718287037)</f>
        <v>44366.57183</v>
      </c>
      <c r="AG13" s="5" t="str">
        <f>IFERROR(__xludf.DUMMYFUNCTION("""COMPUTED_VALUE"""),"Griezmann wants an Major League Soccer move in the future 👀.")</f>
        <v>Griezmann wants an Major League Soccer move in the future 👀.</v>
      </c>
      <c r="AH13" s="39" t="s">
        <v>15</v>
      </c>
      <c r="AK13" s="5"/>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NOT(ISERROR($E7:DF7))))"),29.0)</f>
        <v>29</v>
      </c>
      <c r="D14" s="26">
        <f t="shared" si="63"/>
        <v>0.3020833333</v>
      </c>
      <c r="E14" s="40">
        <f>IFERROR(__xludf.DUMMYFUNCTION("""COMPUTED_VALUE"""),44366.60229166667)</f>
        <v>44366.60229</v>
      </c>
      <c r="F14" s="5" t="str">
        <f>IFERROR(__xludf.DUMMYFUNCTION("""COMPUTED_VALUE"""),"Route one pays off for the French. Great kick out from Lloris #FRA. I mean Hugo Lloris kicking has been brilliant this euros. Can’t seem to do it for Spurs! What a kick from LLoris. Best Goal kick #Lloris has ever taken! #Fra goooooal. Best kick I’ve seen"&amp;" Lloris do 😂.")</f>
        <v>Route one pays off for the French. Great kick out from Lloris #FRA. I mean Hugo Lloris kicking has been brilliant this euros. Can’t seem to do it for Spurs! What a kick from LLoris. Best Goal kick #Lloris has ever taken! #Fra goooooal. Best kick I’ve seen Lloris do 😂.</v>
      </c>
      <c r="G14" s="39" t="s">
        <v>17</v>
      </c>
      <c r="J14" s="5"/>
      <c r="K14" s="40">
        <f>IFERROR(__xludf.DUMMYFUNCTION("""COMPUTED_VALUE"""),44366.58011574074)</f>
        <v>44366.58012</v>
      </c>
      <c r="L14" s="5" t="str">
        <f>IFERROR(__xludf.DUMMYFUNCTION("""COMPUTED_VALUE"""),"Hungary score. Absolute scenes. Those celebrations is why I ❤️football. EURO 2020 #HUNFRA.. 🇭🇺 When you score against the world champions... 🥳 Scenes in Budapest!. EURO 2020.")</f>
        <v>Hungary score. Absolute scenes. Those celebrations is why I ❤️football. EURO 2020 #HUNFRA.. 🇭🇺 When you score against the world champions... 🥳 Scenes in Budapest!. EURO 2020.</v>
      </c>
      <c r="M14" s="39" t="s">
        <v>17</v>
      </c>
      <c r="N14" s="40">
        <f>IFERROR(__xludf.DUMMYFUNCTION("""COMPUTED_VALUE"""),44366.57690972222)</f>
        <v>44366.57691</v>
      </c>
      <c r="O14" s="5" t="str">
        <f>IFERROR(__xludf.DUMMYFUNCTION("""COMPUTED_VALUE"""),"Giroud is Frances best player 👍. Giroud is France’s best striker. Now if you want to win this match you have not choice than to bring in Giroud. France best striker 👌. Come save them Giroud 😅. Giroud unlucky not to feature. Benzema not having his best "&amp;"half of football. #HUNFRA.")</f>
        <v>Giroud is Frances best player 👍. Giroud is France’s best striker. Now if you want to win this match you have not choice than to bring in Giroud. France best striker 👌. Come save them Giroud 😅. Giroud unlucky not to feature. Benzema not having his best half of football. #HUNFRA.</v>
      </c>
      <c r="P14" s="39" t="s">
        <v>16</v>
      </c>
      <c r="Q14" s="40">
        <f>IFERROR(__xludf.DUMMYFUNCTION("""COMPUTED_VALUE"""),44366.57435185185)</f>
        <v>44366.57435</v>
      </c>
      <c r="R14" s="5" t="str">
        <f>IFERROR(__xludf.DUMMYFUNCTION("""COMPUTED_VALUE"""),"HUNGARY TAKE THE LEAD!!!! EURO 2020. Wooohoo, #hun take the lead. #hun takes the early lead! 🙀. EURO 2020. #HUN take the lead. sksksksk. The Mighty Magyars take the lead! 🇭🇺. EURO 2020. Wow #HUN take the lead, what a clinical finish. They lead 1-0 just"&amp;" before half-time. #HUNFRA.")</f>
        <v>HUNGARY TAKE THE LEAD!!!! EURO 2020. Wooohoo, #hun take the lead. #hun takes the early lead! 🙀. EURO 2020. #HUN take the lead. sksksksk. The Mighty Magyars take the lead! 🇭🇺. EURO 2020. Wow #HUN take the lead, what a clinical finish. They lead 1-0 just before half-time. #HUNFRA.</v>
      </c>
      <c r="S14" s="39" t="s">
        <v>17</v>
      </c>
      <c r="T14" s="40">
        <f>IFERROR(__xludf.DUMMYFUNCTION("""COMPUTED_VALUE"""),44366.56841435185)</f>
        <v>44366.56841</v>
      </c>
      <c r="U14" s="5" t="str">
        <f>IFERROR(__xludf.DUMMYFUNCTION("""COMPUTED_VALUE"""),"Pogba is balling again. Get Pogba into this game.... Griezmann and Rabiot holding the ball too long. Pogba doesn't know when to pass. Nothing concern Kante for this game, just stand behind Pogba and Greizman, collect loose ball, give them back and rest. K"&amp;"ante Nwa Jesus.")</f>
        <v>Pogba is balling again. Get Pogba into this game.... Griezmann and Rabiot holding the ball too long. Pogba doesn't know when to pass. Nothing concern Kante for this game, just stand behind Pogba and Greizman, collect loose ball, give them back and rest. Kante Nwa Jesus.</v>
      </c>
      <c r="V14" s="39" t="s">
        <v>18</v>
      </c>
      <c r="W14" s="40">
        <f>IFERROR(__xludf.DUMMYFUNCTION("""COMPUTED_VALUE"""),44366.57451388889)</f>
        <v>44366.57451</v>
      </c>
      <c r="X14" s="5" t="str">
        <f>IFERROR(__xludf.DUMMYFUNCTION("""COMPUTED_VALUE"""),"Gol de #HUN 😳. If Southgate subbed kane off yesterday, deschamps should send benzema home at half-time. Even giroud would have scored those chances ffs. I captained mbappe ffs. Deschamps gonna cost Kante a Ballon d’Or ffsss. Varane Tax ffs. Should've sta"&amp;"rted my man Clement.")</f>
        <v>Gol de #HUN 😳. If Southgate subbed kane off yesterday, deschamps should send benzema home at half-time. Even giroud would have scored those chances ffs. I captained mbappe ffs. Deschamps gonna cost Kante a Ballon d’Or ffsss. Varane Tax ffs. Should've started my man Clement.</v>
      </c>
      <c r="Y14" s="39" t="s">
        <v>17</v>
      </c>
      <c r="Z14" s="40">
        <f>IFERROR(__xludf.DUMMYFUNCTION("""COMPUTED_VALUE"""),44366.60878472222)</f>
        <v>44366.60878</v>
      </c>
      <c r="AA14" s="5" t="str">
        <f>IFERROR(__xludf.DUMMYFUNCTION("""COMPUTED_VALUE"""),"What is this sub now? could only be for Benzema but that makes no sense. Did he just sub pogba off!?? Sub this benzema guy jur!!! Benzema getting subbed off for Giroud. Justice. Wait it was rabiot they subbed ahahahahah. Told u bout that bum. Nazoke good "&amp;"subs now let's go #FRA.")</f>
        <v>What is this sub now? could only be for Benzema but that makes no sense. Did he just sub pogba off!?? Sub this benzema guy jur!!! Benzema getting subbed off for Giroud. Justice. Wait it was rabiot they subbed ahahahahah. Told u bout that bum. Nazoke good subs now let's go #FRA.</v>
      </c>
      <c r="AB14" s="39" t="s">
        <v>17</v>
      </c>
      <c r="AC14" s="40">
        <f>IFERROR(__xludf.DUMMYFUNCTION("""COMPUTED_VALUE"""),44366.57608796297)</f>
        <v>44366.57609</v>
      </c>
      <c r="AD14" s="5" t="str">
        <f>IFERROR(__xludf.DUMMYFUNCTION("""COMPUTED_VALUE"""),"France are losing to Hungary, this is not a drill. The world champions are losing to Hungary.😳#FRAHUN. The World Champions are behind! This is not a drill. 😬. EURO 2020 #HUN.")</f>
        <v>France are losing to Hungary, this is not a drill. The world champions are losing to Hungary.😳#FRAHUN. The World Champions are behind! This is not a drill. 😬. EURO 2020 #HUN.</v>
      </c>
      <c r="AE14" s="39" t="s">
        <v>14</v>
      </c>
      <c r="AF14" s="40">
        <f>IFERROR(__xludf.DUMMYFUNCTION("""COMPUTED_VALUE"""),44366.57440972222)</f>
        <v>44366.57441</v>
      </c>
      <c r="AG14" s="5" t="str">
        <f>IFERROR(__xludf.DUMMYFUNCTION("""COMPUTED_VALUE"""),"Who will win today's match between Germany 🇩🇪 vs Portugal 🇵🇹? EURO 2020. Portugalvs Germany. Hungary have taken the lead against France! 1-0 #HUNFRA. Quality goal against the world champions! EURO 2020. Made in Chelsea.. Who's winning the midfield bat"&amp;"tle? 🤔. EURO 2020.")</f>
        <v>Who will win today's match between Germany 🇩🇪 vs Portugal 🇵🇹? EURO 2020. Portugalvs Germany. Hungary have taken the lead against France! 1-0 #HUNFRA. Quality goal against the world champions! EURO 2020. Made in Chelsea.. Who's winning the midfield battle? 🤔. EURO 2020.</v>
      </c>
      <c r="AH14" s="39" t="s">
        <v>17</v>
      </c>
      <c r="AK14" s="5"/>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96</v>
      </c>
      <c r="D15" s="26">
        <f t="shared" si="64"/>
        <v>1</v>
      </c>
      <c r="E15" s="40">
        <f>IFERROR(__xludf.DUMMYFUNCTION("""COMPUTED_VALUE"""),44366.61369212963)</f>
        <v>44366.61369</v>
      </c>
      <c r="F15" s="5" t="str">
        <f>IFERROR(__xludf.DUMMYFUNCTION("""COMPUTED_VALUE"""),"Shit shot from mbappe. Raw finish from Mbappe, has to find the corner there. Mbappe fi pick a corner.. a wah dat. Mbappe you shot it right at him!!!! Come on mbappe back of the net. Mbappe really needs to hit the bottom corner there, come on man that was "&amp;"great from Giroooo.")</f>
        <v>Shit shot from mbappe. Raw finish from Mbappe, has to find the corner there. Mbappe fi pick a corner.. a wah dat. Mbappe you shot it right at him!!!! Come on mbappe back of the net. Mbappe really needs to hit the bottom corner there, come on man that was great from Giroooo.</v>
      </c>
      <c r="G15" s="39" t="s">
        <v>18</v>
      </c>
      <c r="J15" s="5"/>
      <c r="K15" s="40">
        <f>IFERROR(__xludf.DUMMYFUNCTION("""COMPUTED_VALUE"""),44366.60181712963)</f>
        <v>44366.60182</v>
      </c>
      <c r="L15" s="5" t="str">
        <f>IFERROR(__xludf.DUMMYFUNCTION("""COMPUTED_VALUE"""),"First Half. ⚽️ | GOAL - Attila Fiola. 🅰 | ASSIST - Roland Sallai. 🇭🇺 Hungary 1-0 France 🇫🇷. Griezmann how you celebrating like that 😂😂😂😂 it’s a equaliser. Does Mbappe get the assist for that? Pls tell me thats a mbappe assist 😭. Give the assist "&amp;"to Lloris, what a wonder ball.")</f>
        <v>First Half. ⚽️ | GOAL - Attila Fiola. 🅰 | ASSIST - Roland Sallai. 🇭🇺 Hungary 1-0 France 🇫🇷. Griezmann how you celebrating like that 😂😂😂😂 it’s a equaliser. Does Mbappe get the assist for that? Pls tell me thats a mbappe assist 😭. Give the assist to Lloris, what a wonder ball.</v>
      </c>
      <c r="M15" s="39" t="s">
        <v>17</v>
      </c>
      <c r="N15" s="40">
        <f>IFERROR(__xludf.DUMMYFUNCTION("""COMPUTED_VALUE"""),44366.57833333334)</f>
        <v>44366.57833</v>
      </c>
      <c r="O15" s="5" t="str">
        <f>IFERROR(__xludf.DUMMYFUNCTION("""COMPUTED_VALUE"""),"Hungary now change their tactics and put three defender at the back 😂😂 it seems like they trying to park bus there #HUN EURO 2020. “Pogba and Kante is the best midfield pivot” 😹. Today wey them no dey park the bus them don place spoil 😭.")</f>
        <v>Hungary now change their tactics and put three defender at the back 😂😂 it seems like they trying to park bus there #HUN EURO 2020. “Pogba and Kante is the best midfield pivot” 😹. Today wey them no dey park the bus them don place spoil 😭.</v>
      </c>
      <c r="P15" s="39" t="s">
        <v>18</v>
      </c>
      <c r="Q15" s="40">
        <f>IFERROR(__xludf.DUMMYFUNCTION("""COMPUTED_VALUE"""),44366.58020833333)</f>
        <v>44366.58021</v>
      </c>
      <c r="R15" s="5" t="str">
        <f>IFERROR(__xludf.DUMMYFUNCTION("""COMPUTED_VALUE"""),"This coach has not been starting Giroud because of what he said about some players not passing to him. You can't tell me otherwise. Chelsea fans are saying Giroud over Benzema forgetting Giroud played 2018 World Cup and got 0 shots on target. Kwasia playe"&amp;"r sei.")</f>
        <v>This coach has not been starting Giroud because of what he said about some players not passing to him. You can't tell me otherwise. Chelsea fans are saying Giroud over Benzema forgetting Giroud played 2018 World Cup and got 0 shots on target. Kwasia player sei.</v>
      </c>
      <c r="S15" s="39" t="s">
        <v>16</v>
      </c>
      <c r="T15" s="40">
        <f>IFERROR(__xludf.DUMMYFUNCTION("""COMPUTED_VALUE"""),44366.57508101852)</f>
        <v>44366.57508</v>
      </c>
      <c r="U15" s="5" t="str">
        <f>IFERROR(__xludf.DUMMYFUNCTION("""COMPUTED_VALUE"""),"Varane couldn’t touch him. Fiola's first touch there was a beauty. EURO 2020. I love this,soak it up and surprise them !. He had just one job and he passed ! #HUN. Lloris gets beat at his near post, Pavard ball watching, Varane sleeping at his job. Very u"&amp;"nserious stuff all around.")</f>
        <v>Varane couldn’t touch him. Fiola's first touch there was a beauty. EURO 2020. I love this,soak it up and surprise them !. He had just one job and he passed ! #HUN. Lloris gets beat at his near post, Pavard ball watching, Varane sleeping at his job. Very unserious stuff all around.</v>
      </c>
      <c r="V15" s="39" t="s">
        <v>17</v>
      </c>
      <c r="W15" s="40">
        <f>IFERROR(__xludf.DUMMYFUNCTION("""COMPUTED_VALUE"""),44366.601875)</f>
        <v>44366.60188</v>
      </c>
      <c r="X15" s="5" t="str">
        <f>IFERROR(__xludf.DUMMYFUNCTION("""COMPUTED_VALUE"""),"Gooooooooooooooooooooooooooooooooooooooooooooooooooooooooooollllllll de #FRA. Gol de #FRA 🥳 EURO 2020. 80% do gol foi do Mbappe. Gol frances !!!! #Griezmann 1-1. 💥‼️ GOOOOOOOOOOOOOOL DE GRIZI 💃🏻💃🏻💃🏻💃🏻 #FRA EURO 2020. Empate a 1️⃣. Goooool de Ant"&amp;"oine 😍 EURO 2020. ¡Gooooool de #FRA!")</f>
        <v>Gooooooooooooooooooooooooooooooooooooooooooooooooooooooooooollllllll de #FRA. Gol de #FRA 🥳 EURO 2020. 80% do gol foi do Mbappe. Gol frances !!!! #Griezmann 1-1. 💥‼️ GOOOOOOOOOOOOOOL DE GRIZI 💃🏻💃🏻💃🏻💃🏻 #FRA EURO 2020. Empate a 1️⃣. Goooool de Antoine 😍 EURO 2020. ¡Gooooool de #FRA!</v>
      </c>
      <c r="Y15" s="39" t="s">
        <v>17</v>
      </c>
      <c r="Z15" s="40">
        <f>IFERROR(__xludf.DUMMYFUNCTION("""COMPUTED_VALUE"""),44366.616643518515)</f>
        <v>44366.61664</v>
      </c>
      <c r="AA15" s="5" t="str">
        <f>IFERROR(__xludf.DUMMYFUNCTION("""COMPUTED_VALUE"""),"Man said lemar when you need a goal 💀. France need a goal and they sub on lemar😭😭. It took 86mins for brainless Deschamps to realise Lemar needs to come in 🤦‍♂️. France need a goal and they bring on Dembele and Lemar😭😭. Deschamps is crazy for subbin"&amp;"g off Dembele for fucking Lemar.")</f>
        <v>Man said lemar when you need a goal 💀. France need a goal and they sub on lemar😭😭. It took 86mins for brainless Deschamps to realise Lemar needs to come in 🤦‍♂️. France need a goal and they bring on Dembele and Lemar😭😭. Deschamps is crazy for subbing off Dembele for fucking Lemar.</v>
      </c>
      <c r="AB15" s="39" t="s">
        <v>17</v>
      </c>
      <c r="AC15" s="40">
        <f>IFERROR(__xludf.DUMMYFUNCTION("""COMPUTED_VALUE"""),44366.58008101852)</f>
        <v>44366.58008</v>
      </c>
      <c r="AD15" s="5" t="str">
        <f>IFERROR(__xludf.DUMMYFUNCTION("""COMPUTED_VALUE"""),"🇭🇺 When you score against the world champions... 🥳 Scenes in Budapest!. EURO 2020.")</f>
        <v>🇭🇺 When you score against the world champions... 🥳 Scenes in Budapest!. EURO 2020.</v>
      </c>
      <c r="AE15" s="39" t="s">
        <v>15</v>
      </c>
      <c r="AF15" s="40">
        <f>IFERROR(__xludf.DUMMYFUNCTION("""COMPUTED_VALUE"""),44366.576006944444)</f>
        <v>44366.57601</v>
      </c>
      <c r="AG15" s="5" t="str">
        <f>IFERROR(__xludf.DUMMYFUNCTION("""COMPUTED_VALUE"""),"France are losing to Hungary, this is not a drill. The world champions are losing to Hungary.😳#FRAHUN. The World Champions are behind! This is not a drill. 😬. EURO 2020 #HUN.")</f>
        <v>France are losing to Hungary, this is not a drill. The world champions are losing to Hungary.😳#FRAHUN. The World Champions are behind! This is not a drill. 😬. EURO 2020 #HUN.</v>
      </c>
      <c r="AH15" s="39" t="s">
        <v>14</v>
      </c>
      <c r="AK15" s="5"/>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NOT(ISERROR($E8:DF8))))"),0.7064367413632119)</f>
        <v>0.7064367414</v>
      </c>
      <c r="E16" s="40">
        <f>IFERROR(__xludf.DUMMYFUNCTION("""COMPUTED_VALUE"""),44366.62362268519)</f>
        <v>44366.62362</v>
      </c>
      <c r="F16" s="5" t="str">
        <f>IFERROR(__xludf.DUMMYFUNCTION("""COMPUTED_VALUE"""),"⏰ RESULT ⏰. 🇭🇺 Fiola strikes just before break. 🇫🇷 Griezmann nets second-half equaliser. 🤔 Who impressed you?. EURO 2020.")</f>
        <v>⏰ RESULT ⏰. 🇭🇺 Fiola strikes just before break. 🇫🇷 Griezmann nets second-half equaliser. 🤔 Who impressed you?. EURO 2020.</v>
      </c>
      <c r="G16" s="39" t="s">
        <v>17</v>
      </c>
      <c r="J16" s="5"/>
      <c r="K16" s="40">
        <f>IFERROR(__xludf.DUMMYFUNCTION("""COMPUTED_VALUE"""),44366.60304398148)</f>
        <v>44366.60304</v>
      </c>
      <c r="L16" s="5" t="str">
        <f>IFERROR(__xludf.DUMMYFUNCTION("""COMPUTED_VALUE"""),"Griezmann getting an equaliser in a Euros game against an underdog. They should take that goal off griezmann just because of that celebration ffs. Not me checking the score to see hungary vs france 1-0 only to see a tweet go 'griezmann scored' 36 seconds "&amp;"ago.")</f>
        <v>Griezmann getting an equaliser in a Euros game against an underdog. They should take that goal off griezmann just because of that celebration ffs. Not me checking the score to see hungary vs france 1-0 only to see a tweet go 'griezmann scored' 36 seconds ago.</v>
      </c>
      <c r="M16" s="39" t="s">
        <v>14</v>
      </c>
      <c r="N16" s="40">
        <f>IFERROR(__xludf.DUMMYFUNCTION("""COMPUTED_VALUE"""),44366.58101851852)</f>
        <v>44366.58102</v>
      </c>
      <c r="O16" s="5" t="str">
        <f>IFERROR(__xludf.DUMMYFUNCTION("""COMPUTED_VALUE"""),"Hugo Lloris vs Hongria | Highlights🔥📈 | Best Goalkeeper itw?👀🌟 | The French Buffon⁉️⁉️ #HONFRA. Same people who mock Maguire rate Varane as the best ITW 😭.")</f>
        <v>Hugo Lloris vs Hongria | Highlights🔥📈 | Best Goalkeeper itw?👀🌟 | The French Buffon⁉️⁉️ #HONFRA. Same people who mock Maguire rate Varane as the best ITW 😭.</v>
      </c>
      <c r="P16" s="39" t="s">
        <v>15</v>
      </c>
      <c r="Q16" s="40">
        <f>IFERROR(__xludf.DUMMYFUNCTION("""COMPUTED_VALUE"""),44366.58844907407)</f>
        <v>44366.58845</v>
      </c>
      <c r="R16" s="5" t="str">
        <f>IFERROR(__xludf.DUMMYFUNCTION("""COMPUTED_VALUE"""),"#HUN mood after taking the lead against the World Champs 😤.")</f>
        <v>#HUN mood after taking the lead against the World Champs 😤.</v>
      </c>
      <c r="S16" s="39" t="s">
        <v>15</v>
      </c>
      <c r="T16" s="40">
        <f>IFERROR(__xludf.DUMMYFUNCTION("""COMPUTED_VALUE"""),44366.59626157407)</f>
        <v>44366.59626</v>
      </c>
      <c r="U16" s="5" t="str">
        <f>IFERROR(__xludf.DUMMYFUNCTION("""COMPUTED_VALUE"""),"Pogba used all his 4 good passes last game. 💀. Why is kante not getting passes from his teammates? Smh. The french midfield today: • passes into the box ❌. • pass to pavard and hope he crosses ✅. Just pass the ball Sterling EURO 2020..")</f>
        <v>Pogba used all his 4 good passes last game. 💀. Why is kante not getting passes from his teammates? Smh. The french midfield today: • passes into the box ❌. • pass to pavard and hope he crosses ✅. Just pass the ball Sterling EURO 2020..</v>
      </c>
      <c r="V16" s="39" t="s">
        <v>18</v>
      </c>
      <c r="Y16" s="5"/>
      <c r="Z16" s="40">
        <f>IFERROR(__xludf.DUMMYFUNCTION("""COMPUTED_VALUE"""),44366.62358796297)</f>
        <v>44366.62359</v>
      </c>
      <c r="AA16" s="5" t="str">
        <f>IFERROR(__xludf.DUMMYFUNCTION("""COMPUTED_VALUE"""),"⏸️ HALF-TIME ⏸️. 🇭🇺🆚🇫🇷 Fiola puts Hungary ahead before break... 😮 Did you see that coming?. EURO 2020. ⏰ RESULT ⏰. 🇭🇺 Fiola strikes just before break. 🇫🇷 Griezmann nets second-half equaliser. 🤔 Who impressed you?. EURO 2020.")</f>
        <v>⏸️ HALF-TIME ⏸️. 🇭🇺🆚🇫🇷 Fiola puts Hungary ahead before break... 😮 Did you see that coming?. EURO 2020. ⏰ RESULT ⏰. 🇭🇺 Fiola strikes just before break. 🇫🇷 Griezmann nets second-half equaliser. 🤔 Who impressed you?. EURO 2020.</v>
      </c>
      <c r="AB16" s="39" t="s">
        <v>17</v>
      </c>
      <c r="AC16" s="40">
        <f>IFERROR(__xludf.DUMMYFUNCTION("""COMPUTED_VALUE"""),44366.5884375)</f>
        <v>44366.58844</v>
      </c>
      <c r="AD16" s="5" t="str">
        <f>IFERROR(__xludf.DUMMYFUNCTION("""COMPUTED_VALUE"""),"Upset alert? 👀. Hungary go up just before halftime against the reigning World Champs 🥶. EURO 2020.. #HUN mood after taking the lead against the World Champs 😤.")</f>
        <v>Upset alert? 👀. Hungary go up just before halftime against the reigning World Champs 🥶. EURO 2020.. #HUN mood after taking the lead against the World Champs 😤.</v>
      </c>
      <c r="AE16" s="39" t="s">
        <v>14</v>
      </c>
      <c r="AF16" s="40">
        <f>IFERROR(__xludf.DUMMYFUNCTION("""COMPUTED_VALUE"""),44366.580034722225)</f>
        <v>44366.58003</v>
      </c>
      <c r="AG16" s="5" t="str">
        <f>IFERROR(__xludf.DUMMYFUNCTION("""COMPUTED_VALUE"""),"Hungary score. Absolute scenes. Those celebrations is why I ❤️football. EURO 2020 #HUNFRA.. 🇭🇺 When you score against the world champions... 🥳 Scenes in Budapest!. EURO 2020.")</f>
        <v>Hungary score. Absolute scenes. Those celebrations is why I ❤️football. EURO 2020 #HUNFRA.. 🇭🇺 When you score against the world champions... 🥳 Scenes in Budapest!. EURO 2020.</v>
      </c>
      <c r="AH16" s="39" t="s">
        <v>14</v>
      </c>
      <c r="AK16" s="5"/>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0.6041666667</v>
      </c>
      <c r="G17" s="5"/>
      <c r="J17" s="5"/>
      <c r="K17" s="40">
        <f>IFERROR(__xludf.DUMMYFUNCTION("""COMPUTED_VALUE"""),44366.60711805556)</f>
        <v>44366.60712</v>
      </c>
      <c r="L17" s="5" t="str">
        <f>IFERROR(__xludf.DUMMYFUNCTION("""COMPUTED_VALUE"""),"You think Antoine Griezmann wasn’t scoring on Juneteenth weekend? TUH. You know it’s black solidarity with all black people. 🇫🇷 Antoine Griezmann has now scored 38 goals for France in 93 games ⚽️. EURO 2020.")</f>
        <v>You think Antoine Griezmann wasn’t scoring on Juneteenth weekend? TUH. You know it’s black solidarity with all black people. 🇫🇷 Antoine Griezmann has now scored 38 goals for France in 93 games ⚽️. EURO 2020.</v>
      </c>
      <c r="M17" s="39" t="s">
        <v>14</v>
      </c>
      <c r="N17" s="40">
        <f>IFERROR(__xludf.DUMMYFUNCTION("""COMPUTED_VALUE"""),44366.59795138889)</f>
        <v>44366.59795</v>
      </c>
      <c r="O17" s="5" t="str">
        <f>IFERROR(__xludf.DUMMYFUNCTION("""COMPUTED_VALUE"""),"I hope Chelsea FC is watching how terrible Varane is as a defender. Don't wanna see him anywhere close to our great club. EURO 2020. Love how #HUN defend!!! Varane, Kimpembe and Pavard are useless and overrated defenders ☺.")</f>
        <v>I hope Chelsea FC is watching how terrible Varane is as a defender. Don't wanna see him anywhere close to our great club. EURO 2020. Love how #HUN defend!!! Varane, Kimpembe and Pavard are useless and overrated defenders ☺.</v>
      </c>
      <c r="P17" s="39" t="s">
        <v>16</v>
      </c>
      <c r="Q17" s="40">
        <f>IFERROR(__xludf.DUMMYFUNCTION("""COMPUTED_VALUE"""),44366.59069444444)</f>
        <v>44366.59069</v>
      </c>
      <c r="R17" s="5" t="str">
        <f>IFERROR(__xludf.DUMMYFUNCTION("""COMPUTED_VALUE"""),"BEST PLAYER IN FRANCE HISTORY POGBA. Pogba is some player. Look at Pogba man, una go dey slander this special player smh. Pogba for France is a different player ❄️ ❄️. Pogba is such a lovely player for France yc. Paul pogba is actually the worst player on"&amp;" the pitch holy shit.")</f>
        <v>BEST PLAYER IN FRANCE HISTORY POGBA. Pogba is some player. Look at Pogba man, una go dey slander this special player smh. Pogba for France is a different player ❄️ ❄️. Pogba is such a lovely player for France yc. Paul pogba is actually the worst player on the pitch holy shit.</v>
      </c>
      <c r="S17" s="39" t="s">
        <v>16</v>
      </c>
      <c r="T17" s="40">
        <f>IFERROR(__xludf.DUMMYFUNCTION("""COMPUTED_VALUE"""),44366.59946759259)</f>
        <v>44366.59947</v>
      </c>
      <c r="U17" s="5" t="str">
        <f>IFERROR(__xludf.DUMMYFUNCTION("""COMPUTED_VALUE"""),"Dembele just dashing balls away EURO 2020. Does Dembele not realise he's meant to pass to the team in white?? #FRA. Dembele’s passing has been poor #HUNFRA. It's quite difficult to mark a player like Dembele who can hit the ball real hard with both feet.."&amp;". EURO 2020.")</f>
        <v>Dembele just dashing balls away EURO 2020. Does Dembele not realise he's meant to pass to the team in white?? #FRA. Dembele’s passing has been poor #HUNFRA. It's quite difficult to mark a player like Dembele who can hit the ball real hard with both feet... EURO 2020.</v>
      </c>
      <c r="V17" s="39" t="s">
        <v>18</v>
      </c>
      <c r="Y17" s="5"/>
      <c r="AB17" s="5"/>
      <c r="AC17" s="40">
        <f>IFERROR(__xludf.DUMMYFUNCTION("""COMPUTED_VALUE"""),44366.60223379629)</f>
        <v>44366.60223</v>
      </c>
      <c r="AD17" s="5" t="str">
        <f>IFERROR(__xludf.DUMMYFUNCTION("""COMPUTED_VALUE"""),"If this Mbappe guy is the best player in the world then good lord I’m done with this sport. Mbappe is out of this world. Class from Mbappe. Dembouz should of went where mbappe passed but he doesnt have that strikers instinct. Griezmannnnnnnn, best in the "&amp;"world. Mbappe Speed Tax.")</f>
        <v>If this Mbappe guy is the best player in the world then good lord I’m done with this sport. Mbappe is out of this world. Class from Mbappe. Dembouz should of went where mbappe passed but he doesnt have that strikers instinct. Griezmannnnnnnn, best in the world. Mbappe Speed Tax.</v>
      </c>
      <c r="AE17" s="39" t="s">
        <v>18</v>
      </c>
      <c r="AF17" s="40">
        <f>IFERROR(__xludf.DUMMYFUNCTION("""COMPUTED_VALUE"""),44366.58363425926)</f>
        <v>44366.58363</v>
      </c>
      <c r="AG17" s="5" t="str">
        <f>IFERROR(__xludf.DUMMYFUNCTION("""COMPUTED_VALUE"""),"Benjamin Pavard- Crazy Football Defensive skills Tackled. Benzema now goKarting.. with Benzema leading the line france won't pass Quater finals. When the English say “Football’s coming home”…. #Fiola #HUNFRA. Hungary are hungry to win this #HUNFRA.")</f>
        <v>Benjamin Pavard- Crazy Football Defensive skills Tackled. Benzema now goKarting.. with Benzema leading the line france won't pass Quater finals. When the English say “Football’s coming home”…. #Fiola #HUNFRA. Hungary are hungry to win this #HUNFRA.</v>
      </c>
      <c r="AH17" s="39" t="s">
        <v>15</v>
      </c>
      <c r="AK17" s="5"/>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47" t="s">
        <v>1146</v>
      </c>
      <c r="C18" s="48"/>
      <c r="D18" s="48"/>
      <c r="G18" s="5"/>
      <c r="J18" s="5"/>
      <c r="K18" s="40">
        <f>IFERROR(__xludf.DUMMYFUNCTION("""COMPUTED_VALUE"""),44366.608668981484)</f>
        <v>44366.60867</v>
      </c>
      <c r="L18" s="5" t="str">
        <f>IFERROR(__xludf.DUMMYFUNCTION("""COMPUTED_VALUE"""),"France need a goal and they bring on Giroud 😂😂🤣🤣. I’m a Barca fan but Benzema over Giroud any day. He’s footwork, goal scoring ability and speed than Giroud. Giroud to score the winning assist or goal, let's go! If Giroud scores we’ll never hear the e"&amp;"nd of it.")</f>
        <v>France need a goal and they bring on Giroud 😂😂🤣🤣. I’m a Barca fan but Benzema over Giroud any day. He’s footwork, goal scoring ability and speed than Giroud. Giroud to score the winning assist or goal, let's go! If Giroud scores we’ll never hear the end of it.</v>
      </c>
      <c r="M18" s="39" t="s">
        <v>17</v>
      </c>
      <c r="N18" s="40">
        <f>IFERROR(__xludf.DUMMYFUNCTION("""COMPUTED_VALUE"""),44366.61284722222)</f>
        <v>44366.61285</v>
      </c>
      <c r="O18" s="5" t="str">
        <f>IFERROR(__xludf.DUMMYFUNCTION("""COMPUTED_VALUE"""),"How did he save that #HUNFRA. Hmmm good save from Mbappe but not sure why Giroud isn't trying to get a tap in there? What a save Gulacsi. That was save of the tournament by Hungary keeper EURO 2020. Another great save! Lucky #HUN. Gila-gila goalkeeper #HU"&amp;"N ni save 😱🔥.")</f>
        <v>How did he save that #HUNFRA. Hmmm good save from Mbappe but not sure why Giroud isn't trying to get a tap in there? What a save Gulacsi. That was save of the tournament by Hungary keeper EURO 2020. Another great save! Lucky #HUN. Gila-gila goalkeeper #HUN ni save 😱🔥.</v>
      </c>
      <c r="P18" s="39" t="s">
        <v>18</v>
      </c>
      <c r="Q18" s="40">
        <f>IFERROR(__xludf.DUMMYFUNCTION("""COMPUTED_VALUE"""),44366.5940162037)</f>
        <v>44366.59402</v>
      </c>
      <c r="R18" s="5" t="str">
        <f>IFERROR(__xludf.DUMMYFUNCTION("""COMPUTED_VALUE"""),"Antoine Griezmann taking a photo of a duck #FRA.")</f>
        <v>Antoine Griezmann taking a photo of a duck #FRA.</v>
      </c>
      <c r="S18" s="39" t="s">
        <v>15</v>
      </c>
      <c r="T18" s="40">
        <f>IFERROR(__xludf.DUMMYFUNCTION("""COMPUTED_VALUE"""),44366.60126157408)</f>
        <v>44366.60126</v>
      </c>
      <c r="U18" s="5" t="str">
        <f>IFERROR(__xludf.DUMMYFUNCTION("""COMPUTED_VALUE"""),"That ball by lloris and the work by mbappe class. The ball by lloris is incredible, Mbappe still great there though. Route one long ball by Lloris, Mbappe pace, Griezman with the finish.. 1-1 come on let's win this boys. When does Lloris ever kick a ball "&amp;"like that for us 🤷🏼‍♂️.")</f>
        <v>That ball by lloris and the work by mbappe class. The ball by lloris is incredible, Mbappe still great there though. Route one long ball by Lloris, Mbappe pace, Griezman with the finish.. 1-1 come on let's win this boys. When does Lloris ever kick a ball like that for us 🤷🏼‍♂️.</v>
      </c>
      <c r="V18" s="39" t="s">
        <v>17</v>
      </c>
      <c r="Y18" s="5"/>
      <c r="AB18" s="5"/>
      <c r="AC18" s="40">
        <f>IFERROR(__xludf.DUMMYFUNCTION("""COMPUTED_VALUE"""),44366.6225)</f>
        <v>44366.6225</v>
      </c>
      <c r="AD18" s="5" t="str">
        <f>IFERROR(__xludf.DUMMYFUNCTION("""COMPUTED_VALUE"""),"1-1 against the World Champions. I can live with that. :-P #Hun #Fra. 1-1 it ends, huge result for Hungary who’ve held the world champions. France didn’t have much cutting edge today #HUNFRA. 🇭🇺 When you score against the world champions... 🥳 Scenes in"&amp;" Budapest!. EURO 2020.")</f>
        <v>1-1 against the World Champions. I can live with that. :-P #Hun #Fra. 1-1 it ends, huge result for Hungary who’ve held the world champions. France didn’t have much cutting edge today #HUNFRA. 🇭🇺 When you score against the world champions... 🥳 Scenes in Budapest!. EURO 2020.</v>
      </c>
      <c r="AE18" s="39" t="s">
        <v>17</v>
      </c>
      <c r="AF18" s="40">
        <f>IFERROR(__xludf.DUMMYFUNCTION("""COMPUTED_VALUE"""),44366.59328703704)</f>
        <v>44366.59329</v>
      </c>
      <c r="AG18" s="5" t="str">
        <f>IFERROR(__xludf.DUMMYFUNCTION("""COMPUTED_VALUE"""),"Hungary will win this. #HUN. I just turned the football on for the second half. Buzzing for Hungary!!! EURO 2020. The football world to Hungary if they pull this off.. #HUNFRA EURO 2020. 🇭🇺 Hungary are unbeaten against France at EURO finals (W3 D1) 💪. "&amp;"EURO 2020.")</f>
        <v>Hungary will win this. #HUN. I just turned the football on for the second half. Buzzing for Hungary!!! EURO 2020. The football world to Hungary if they pull this off.. #HUNFRA EURO 2020. 🇭🇺 Hungary are unbeaten against France at EURO finals (W3 D1) 💪. EURO 2020.</v>
      </c>
      <c r="AH18" s="39" t="s">
        <v>16</v>
      </c>
      <c r="AK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G19" s="5"/>
      <c r="J19" s="5"/>
      <c r="K19" s="40">
        <f>IFERROR(__xludf.DUMMYFUNCTION("""COMPUTED_VALUE"""),44366.61283564815)</f>
        <v>44366.61284</v>
      </c>
      <c r="L19" s="5" t="str">
        <f>IFERROR(__xludf.DUMMYFUNCTION("""COMPUTED_VALUE"""),"Mbappe to score the winning goal 🥅. 80': #FRA 1-1 #HUN. If i was mbappe i’d have simply just scored. Mbappe has an assist in this game in my book of facts 👍. That was nearly a beautiful goal from Mbappe 🤌🏽. If mbappe passed to giroud, it would have be"&amp;"en a goal 🤦‍♀️.")</f>
        <v>Mbappe to score the winning goal 🥅. 80': #FRA 1-1 #HUN. If i was mbappe i’d have simply just scored. Mbappe has an assist in this game in my book of facts 👍. That was nearly a beautiful goal from Mbappe 🤌🏽. If mbappe passed to giroud, it would have been a goal 🤦‍♀️.</v>
      </c>
      <c r="M19" s="39" t="s">
        <v>18</v>
      </c>
      <c r="N19" s="40">
        <f>IFERROR(__xludf.DUMMYFUNCTION("""COMPUTED_VALUE"""),44366.61443287037)</f>
        <v>44366.61443</v>
      </c>
      <c r="O19" s="5" t="str">
        <f>IFERROR(__xludf.DUMMYFUNCTION("""COMPUTED_VALUE"""),"The hungary keeper looks like gay evil peter cech. #HUNFRA. Gulacsi is a decent keeper tbf. Mbappe needs to finish that, go low and hit it across the keeper smh. Hungary's keeper putting in a solid shift #hun. Mbappe has to score there... not shoot straig"&amp;"ht at the keeper.")</f>
        <v>The hungary keeper looks like gay evil peter cech. #HUNFRA. Gulacsi is a decent keeper tbf. Mbappe needs to finish that, go low and hit it across the keeper smh. Hungary's keeper putting in a solid shift #hun. Mbappe has to score there... not shoot straight at the keeper.</v>
      </c>
      <c r="P19" s="39" t="s">
        <v>14</v>
      </c>
      <c r="Q19" s="40">
        <f>IFERROR(__xludf.DUMMYFUNCTION("""COMPUTED_VALUE"""),44366.59543981482)</f>
        <v>44366.59544</v>
      </c>
      <c r="R19" s="5" t="str">
        <f>IFERROR(__xludf.DUMMYFUNCTION("""COMPUTED_VALUE"""),"🇭🇺🆚🇫🇷 Which players have stood out?. EURO 2020.")</f>
        <v>🇭🇺🆚🇫🇷 Which players have stood out?. EURO 2020.</v>
      </c>
      <c r="S19" s="39" t="s">
        <v>15</v>
      </c>
      <c r="T19" s="40">
        <f>IFERROR(__xludf.DUMMYFUNCTION("""COMPUTED_VALUE"""),44366.60623842593)</f>
        <v>44366.60624</v>
      </c>
      <c r="U19" s="5" t="str">
        <f>IFERROR(__xludf.DUMMYFUNCTION("""COMPUTED_VALUE"""),"I thought the new rule says any kind of handball from the striker stops the play ,didn’t Mbappe touch it with his hand ? POGBA: Don’t touch me 😂. Peep the touch and creativity from Mbappe, class.. Benzema every time he touches the ball. 😂 Pogba said “do"&amp;"n’t touch me”.")</f>
        <v>I thought the new rule says any kind of handball from the striker stops the play ,didn’t Mbappe touch it with his hand ? POGBA: Don’t touch me 😂. Peep the touch and creativity from Mbappe, class.. Benzema every time he touches the ball. 😂 Pogba said “don’t touch me”.</v>
      </c>
      <c r="V19" s="39" t="s">
        <v>15</v>
      </c>
      <c r="Y19" s="5"/>
      <c r="AB19" s="5"/>
      <c r="AE19" s="5"/>
      <c r="AF19" s="40">
        <f>IFERROR(__xludf.DUMMYFUNCTION("""COMPUTED_VALUE"""),44366.595671296294)</f>
        <v>44366.59567</v>
      </c>
      <c r="AG19" s="5" t="str">
        <f>IFERROR(__xludf.DUMMYFUNCTION("""COMPUTED_VALUE"""),"Rabiot is not great at football. Rabiot out France win. Rabiot finally coming off he’s been meady. Rabiot off for an attacker and they’re winning this game. Rabiot finally off. Finally rabiot coming off, my eyes cannot when i see both pogba and him so cas"&amp;"ual.")</f>
        <v>Rabiot is not great at football. Rabiot out France win. Rabiot finally coming off he’s been meady. Rabiot off for an attacker and they’re winning this game. Rabiot finally off. Finally rabiot coming off, my eyes cannot when i see both pogba and him so casual.</v>
      </c>
      <c r="AH19" s="39" t="s">
        <v>17</v>
      </c>
      <c r="AK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2</v>
      </c>
      <c r="D20" s="26">
        <f>IFERROR(__xludf.DUMMYFUNCTION("IF(C20, COUNTIF(FILTER($D$26:$D1007, $A$26:$A1007=A20), TRUE)/C20, 0)"),1.0)</f>
        <v>1</v>
      </c>
      <c r="G20" s="5"/>
      <c r="J20" s="5"/>
      <c r="K20" s="40">
        <f>IFERROR(__xludf.DUMMYFUNCTION("""COMPUTED_VALUE"""),44366.62358796297)</f>
        <v>44366.62359</v>
      </c>
      <c r="L20" s="5" t="str">
        <f>IFERROR(__xludf.DUMMYFUNCTION("""COMPUTED_VALUE"""),"GOAL RUSH: HUNGARY 1 - 0 FRANCE (A. Fiola 45+2'). euro 2020 #Fiola. Griezmann. Don’t you fuckin dare equalise pal. ⏰ RESULT ⏰. 🇭🇺 Fiola strikes just before break. 🇫🇷 Griezmann nets second-half equaliser. 🤔 Who impressed you?. EURO 2020.")</f>
        <v>GOAL RUSH: HUNGARY 1 - 0 FRANCE (A. Fiola 45+2'). euro 2020 #Fiola. Griezmann. Don’t you fuckin dare equalise pal. ⏰ RESULT ⏰. 🇭🇺 Fiola strikes just before break. 🇫🇷 Griezmann nets second-half equaliser. 🤔 Who impressed you?. EURO 2020.</v>
      </c>
      <c r="M20" s="39" t="s">
        <v>17</v>
      </c>
      <c r="P20" s="5"/>
      <c r="Q20" s="40">
        <f>IFERROR(__xludf.DUMMYFUNCTION("""COMPUTED_VALUE"""),44366.59979166667)</f>
        <v>44366.59979</v>
      </c>
      <c r="R20" s="5" t="str">
        <f>IFERROR(__xludf.DUMMYFUNCTION("""COMPUTED_VALUE"""),"A go take zouma like dat na varane di3 no lie. Take Benzema off bring in Giroud. Varane’s inverted knees is kicking his ass. Very few ppl make it to pro football with inverted knees. Take Greizmann off for Giroud, let’s see big sexy and Benzema together, "&amp;"let’s get fully chaotic.")</f>
        <v>A go take zouma like dat na varane di3 no lie. Take Benzema off bring in Giroud. Varane’s inverted knees is kicking his ass. Very few ppl make it to pro football with inverted knees. Take Greizmann off for Giroud, let’s see big sexy and Benzema together, let’s get fully chaotic.</v>
      </c>
      <c r="S20" s="39" t="s">
        <v>16</v>
      </c>
      <c r="T20" s="40">
        <f>IFERROR(__xludf.DUMMYFUNCTION("""COMPUTED_VALUE"""),44366.607511574075)</f>
        <v>44366.60751</v>
      </c>
      <c r="U20" s="5" t="str">
        <f>IFERROR(__xludf.DUMMYFUNCTION("""COMPUTED_VALUE"""),"😂 Pogba said “don’t touch me”. Pogba has only passed sideways or backwards this game btw. Pogba doesn't know when to pass or dribble. Almost cost France. Pogba man just release the goddamn ball. Every time pogba wins the ball, he loses it lol.")</f>
        <v>😂 Pogba said “don’t touch me”. Pogba has only passed sideways or backwards this game btw. Pogba doesn't know when to pass or dribble. Almost cost France. Pogba man just release the goddamn ball. Every time pogba wins the ball, he loses it lol.</v>
      </c>
      <c r="V20" s="39" t="s">
        <v>18</v>
      </c>
      <c r="Y20" s="5"/>
      <c r="AB20" s="5"/>
      <c r="AE20" s="5"/>
      <c r="AF20" s="40">
        <f>IFERROR(__xludf.DUMMYFUNCTION("""COMPUTED_VALUE"""),44366.599745370375)</f>
        <v>44366.59975</v>
      </c>
      <c r="AG20" s="5" t="str">
        <f>IFERROR(__xludf.DUMMYFUNCTION("""COMPUTED_VALUE"""),"Thank god the varane is good at football myth has been busted today. Varane will be cooked in the premier league. #HUNFRA. France ain't winning nun w varane starting. Varane’s inverted knees is kicking his ass. Very few ppl make it to pro football with in"&amp;"verted knees.")</f>
        <v>Thank god the varane is good at football myth has been busted today. Varane will be cooked in the premier league. #HUNFRA. France ain't winning nun w varane starting. Varane’s inverted knees is kicking his ass. Very few ppl make it to pro football with inverted knees.</v>
      </c>
      <c r="AH20" s="39" t="s">
        <v>16</v>
      </c>
      <c r="AK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2</v>
      </c>
      <c r="D21" s="26">
        <f>IFERROR(__xludf.DUMMYFUNCTION("IF(C21, COUNTIF(FILTER($D$26:$D1007, $A$26:$A1007=A21), TRUE)/C21, 0)"),0.5)</f>
        <v>0.5</v>
      </c>
      <c r="G21" s="5"/>
      <c r="J21" s="5"/>
      <c r="M21" s="5"/>
      <c r="P21" s="5"/>
      <c r="Q21" s="40">
        <f>IFERROR(__xludf.DUMMYFUNCTION("""COMPUTED_VALUE"""),44366.602361111116)</f>
        <v>44366.60236</v>
      </c>
      <c r="R21" s="5" t="str">
        <f>IFERROR(__xludf.DUMMYFUNCTION("""COMPUTED_VALUE"""),"Mbappe is easily the best player itw. MBAPPE WHAT A PLAYER. It's so easy to take ball off Mbappe and dembele. Mbappe c'mon 🙄🙄🙄. Wetin these France players smoke today, even Griezouuuu 😒😒😒. That goal was all Mbappe. White trash taking credit smh. Tak"&amp;"e mbappe off for Coman!")</f>
        <v>Mbappe is easily the best player itw. MBAPPE WHAT A PLAYER. It's so easy to take ball off Mbappe and dembele. Mbappe c'mon 🙄🙄🙄. Wetin these France players smoke today, even Griezouuuu 😒😒😒. That goal was all Mbappe. White trash taking credit smh. Take mbappe off for Coman!</v>
      </c>
      <c r="S21" s="39" t="s">
        <v>16</v>
      </c>
      <c r="T21" s="40">
        <f>IFERROR(__xludf.DUMMYFUNCTION("""COMPUTED_VALUE"""),44366.60915509259)</f>
        <v>44366.60916</v>
      </c>
      <c r="U21" s="5" t="str">
        <f>IFERROR(__xludf.DUMMYFUNCTION("""COMPUTED_VALUE"""),"Giroud ball let’s get it. YES GIROUD INNNN!! OLIVER BALL TO THE WORLD 🥺🥺🥺🔥🔥🔥🔥🔥. Giroud from a Dembouz cross my meat is breaking. Will Mbappe pass it to Giroud? OHHH MY GODDDD OLIVIER GIROUD IS ON HE WILL SCORE THE WINNER I FEEL IT IN MY BALLS HENR"&amp;"Y WAKE UP WAKE UP.")</f>
        <v>Giroud ball let’s get it. YES GIROUD INNNN!! OLIVER BALL TO THE WORLD 🥺🥺🥺🔥🔥🔥🔥🔥. Giroud from a Dembouz cross my meat is breaking. Will Mbappe pass it to Giroud? OHHH MY GODDDD OLIVIER GIROUD IS ON HE WILL SCORE THE WINNER I FEEL IT IN MY BALLS HENRY WAKE UP WAKE UP.</v>
      </c>
      <c r="V21" s="39" t="s">
        <v>17</v>
      </c>
      <c r="Y21" s="5"/>
      <c r="AB21" s="5"/>
      <c r="AE21" s="5"/>
      <c r="AF21" s="40">
        <f>IFERROR(__xludf.DUMMYFUNCTION("""COMPUTED_VALUE"""),44366.60144675926)</f>
        <v>44366.60145</v>
      </c>
      <c r="AG21" s="5" t="str">
        <f>IFERROR(__xludf.DUMMYFUNCTION("""COMPUTED_VALUE"""),"Has the commentator just said pogba was outstanding in the champions league final 🤣 get paid real money these. Bring on Giroud if you want to win the game. Pavard is really trying to get himself sent off 😭 his Bayern form is finally showing up in the Fr"&amp;"ance team. Finally!! #FRA🙌.")</f>
        <v>Has the commentator just said pogba was outstanding in the champions league final 🤣 get paid real money these. Bring on Giroud if you want to win the game. Pavard is really trying to get himself sent off 😭 his Bayern form is finally showing up in the France team. Finally!! #FRA🙌.</v>
      </c>
      <c r="AH21" s="39" t="s">
        <v>16</v>
      </c>
      <c r="AK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0)"),0.5)</f>
        <v>0.5</v>
      </c>
      <c r="G22" s="5"/>
      <c r="J22" s="5"/>
      <c r="M22" s="5"/>
      <c r="P22" s="5"/>
      <c r="Q22" s="40">
        <f>IFERROR(__xludf.DUMMYFUNCTION("""COMPUTED_VALUE"""),44366.60597222223)</f>
        <v>44366.60597</v>
      </c>
      <c r="R22" s="5" t="str">
        <f>IFERROR(__xludf.DUMMYFUNCTION("""COMPUTED_VALUE"""),"Antoine Griezmann is the best International player of the last 5 years and it's not up for debate..")</f>
        <v>Antoine Griezmann is the best International player of the last 5 years and it's not up for debate..</v>
      </c>
      <c r="S22" s="39" t="s">
        <v>16</v>
      </c>
      <c r="T22" s="40">
        <f>IFERROR(__xludf.DUMMYFUNCTION("""COMPUTED_VALUE"""),44366.618680555555)</f>
        <v>44366.61868</v>
      </c>
      <c r="U22" s="5" t="str">
        <f>IFERROR(__xludf.DUMMYFUNCTION("""COMPUTED_VALUE"""),"Mbappe nah werey. Giroud give you ball, return am, you wan form match winner..")</f>
        <v>Mbappe nah werey. Giroud give you ball, return am, you wan form match winner..</v>
      </c>
      <c r="V22" s="39" t="s">
        <v>15</v>
      </c>
      <c r="Y22" s="5"/>
      <c r="AB22" s="5"/>
      <c r="AE22" s="5"/>
      <c r="AF22" s="40">
        <f>IFERROR(__xludf.DUMMYFUNCTION("""COMPUTED_VALUE"""),44366.60332175926)</f>
        <v>44366.60332</v>
      </c>
      <c r="AG22" s="5" t="str">
        <f>IFERROR(__xludf.DUMMYFUNCTION("""COMPUTED_VALUE"""),"Griezmann giving me proper Dan James vibes celebrating like that whilst they're not winning😭. Finally griezmann. 🙌🏽 Still want 3 more. Goallll!!!!! Finally Griezmann we know back in the game. Antoine Griezmann is the first quintuple-winning Newcastle m"&amp;"anager to score in Euro 2020.")</f>
        <v>Griezmann giving me proper Dan James vibes celebrating like that whilst they're not winning😭. Finally griezmann. 🙌🏽 Still want 3 more. Goallll!!!!! Finally Griezmann we know back in the game. Antoine Griezmann is the first quintuple-winning Newcastle manager to score in Euro 2020.</v>
      </c>
      <c r="AH22" s="39" t="s">
        <v>17</v>
      </c>
      <c r="AK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7</v>
      </c>
      <c r="D23" s="26">
        <f>IFERROR(__xludf.DUMMYFUNCTION("IF(C23, COUNTIF(FILTER($D$26:$D1007, $A$26:$A1007=A23), TRUE)/C23, 0)"),0.5714285714285714)</f>
        <v>0.5714285714</v>
      </c>
      <c r="G23" s="5"/>
      <c r="J23" s="5"/>
      <c r="M23" s="5"/>
      <c r="P23" s="5"/>
      <c r="Q23" s="40">
        <f>IFERROR(__xludf.DUMMYFUNCTION("""COMPUTED_VALUE"""),44366.60853009259)</f>
        <v>44366.60853</v>
      </c>
      <c r="R23" s="5" t="str">
        <f>IFERROR(__xludf.DUMMYFUNCTION("""COMPUTED_VALUE"""),"Roland Sallai is the most fouled player in the match (6 times). #HUN. Sallai good player. Roland Sallai is a good player mayn.")</f>
        <v>Roland Sallai is the most fouled player in the match (6 times). #HUN. Sallai good player. Roland Sallai is a good player mayn.</v>
      </c>
      <c r="S23" s="39" t="s">
        <v>18</v>
      </c>
      <c r="T23" s="40">
        <f>IFERROR(__xludf.DUMMYFUNCTION("""COMPUTED_VALUE"""),44366.62103009259)</f>
        <v>44366.62103</v>
      </c>
      <c r="U23" s="5" t="str">
        <f>IFERROR(__xludf.DUMMYFUNCTION("""COMPUTED_VALUE"""),"Giroud just stands in the box and waits for a loose ball to pounce on. ""Don't pass it to Benzema.."" Oh wait that's me..")</f>
        <v>Giroud just stands in the box and waits for a loose ball to pounce on. "Don't pass it to Benzema.." Oh wait that's me..</v>
      </c>
      <c r="V23" s="39" t="s">
        <v>18</v>
      </c>
      <c r="Y23" s="5"/>
      <c r="AB23" s="5"/>
      <c r="AE23" s="5"/>
      <c r="AF23" s="40">
        <f>IFERROR(__xludf.DUMMYFUNCTION("""COMPUTED_VALUE"""),44366.605104166665)</f>
        <v>44366.6051</v>
      </c>
      <c r="AG23" s="5" t="str">
        <f>IFERROR(__xludf.DUMMYFUNCTION("""COMPUTED_VALUE"""),"Mbappe really doing well. France might win this game.")</f>
        <v>Mbappe really doing well. France might win this game.</v>
      </c>
      <c r="AH23" s="39" t="s">
        <v>15</v>
      </c>
      <c r="AK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15</v>
      </c>
      <c r="D24" s="26">
        <f>COUNTIF($D$26:$D1007, TRUE)/C24</f>
        <v>0.6</v>
      </c>
      <c r="G24" s="5"/>
      <c r="J24" s="5"/>
      <c r="M24" s="5"/>
      <c r="P24" s="5"/>
      <c r="Q24" s="40">
        <f>IFERROR(__xludf.DUMMYFUNCTION("""COMPUTED_VALUE"""),44366.61040509259)</f>
        <v>44366.61041</v>
      </c>
      <c r="R24" s="5" t="str">
        <f>IFERROR(__xludf.DUMMYFUNCTION("""COMPUTED_VALUE"""),"On my knees for a Giroud goal 🤞. How are you bringing on Giroud but taking off Pogba ?¿ 😞. Chelsea fans are saying Giroud over Benzema forgetting Giroud played 2018 World Cup and got 0 shots on target. Kwasia player sei.")</f>
        <v>On my knees for a Giroud goal 🤞. How are you bringing on Giroud but taking off Pogba ?¿ 😞. Chelsea fans are saying Giroud over Benzema forgetting Giroud played 2018 World Cup and got 0 shots on target. Kwasia player sei.</v>
      </c>
      <c r="S24" s="39" t="s">
        <v>17</v>
      </c>
      <c r="T24" s="40">
        <f>IFERROR(__xludf.DUMMYFUNCTION("""COMPUTED_VALUE"""),44366.62230324074)</f>
        <v>44366.6223</v>
      </c>
      <c r="U24" s="5" t="str">
        <f>IFERROR(__xludf.DUMMYFUNCTION("""COMPUTED_VALUE"""),"Deschamps ball. Deschamps ball 😳. Varane always gets in the end of crosses and set pieces and barely scores. Mbappe disasterclass. This guy aint touching Rashford. Giroud barely got a pass. #HUNFRA. Lemar really passed there at the end instead of crossin"&amp;"g it in 🤣🤣.")</f>
        <v>Deschamps ball. Deschamps ball 😳. Varane always gets in the end of crosses and set pieces and barely scores. Mbappe disasterclass. This guy aint touching Rashford. Giroud barely got a pass. #HUNFRA. Lemar really passed there at the end instead of crossing it in 🤣🤣.</v>
      </c>
      <c r="V24" s="39" t="s">
        <v>18</v>
      </c>
      <c r="Y24" s="5"/>
      <c r="AB24" s="5"/>
      <c r="AE24" s="5"/>
      <c r="AF24" s="40">
        <f>IFERROR(__xludf.DUMMYFUNCTION("""COMPUTED_VALUE"""),44366.607928240745)</f>
        <v>44366.60793</v>
      </c>
      <c r="AG24" s="5" t="str">
        <f>IFERROR(__xludf.DUMMYFUNCTION("""COMPUTED_VALUE"""),"Giroud finally coming on about 75 minutes to late EURO 2020. Finally Giroud. Get in the fucking bin Benzema. Pogba off Giroud on. France winning 1:4 now. 😢. Giroud has to be one of the top 5 hottest football players currently playing #FRA.")</f>
        <v>Giroud finally coming on about 75 minutes to late EURO 2020. Finally Giroud. Get in the fucking bin Benzema. Pogba off Giroud on. France winning 1:4 now. 😢. Giroud has to be one of the top 5 hottest football players currently playing #FRA.</v>
      </c>
      <c r="AH24" s="39" t="s">
        <v>17</v>
      </c>
      <c r="AK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G25" s="5"/>
      <c r="J25" s="5"/>
      <c r="M25" s="5"/>
      <c r="P25" s="5"/>
      <c r="Q25" s="40">
        <f>IFERROR(__xludf.DUMMYFUNCTION("""COMPUTED_VALUE"""),44366.6184375)</f>
        <v>44366.61844</v>
      </c>
      <c r="R25" s="5" t="str">
        <f>IFERROR(__xludf.DUMMYFUNCTION("""COMPUTED_VALUE"""),"Real Madrid asking £80M for Varane is a scam. I’d rather take Pau Torres tbh. Christian Pulisic. Marco Reus. Ousmane Dembele. Talented players that struggle to stay fit... Dembele asking Deschamps why he subbed him on just to take him off.")</f>
        <v>Real Madrid asking £80M for Varane is a scam. I’d rather take Pau Torres tbh. Christian Pulisic. Marco Reus. Ousmane Dembele. Talented players that struggle to stay fit... Dembele asking Deschamps why he subbed him on just to take him off.</v>
      </c>
      <c r="S25" s="39" t="s">
        <v>17</v>
      </c>
      <c r="V25" s="5"/>
      <c r="Y25" s="5"/>
      <c r="AB25" s="5"/>
      <c r="AE25" s="5"/>
      <c r="AF25" s="40">
        <f>IFERROR(__xludf.DUMMYFUNCTION("""COMPUTED_VALUE"""),44366.61409722222)</f>
        <v>44366.6141</v>
      </c>
      <c r="AG25" s="5" t="str">
        <f>IFERROR(__xludf.DUMMYFUNCTION("""COMPUTED_VALUE"""),"Mbappe just might be a good footballer. Oooh boy how has Mbappe not scored there. Starting to think my 4-0 France win might be unlikely #FRA. France might not get the win but Greizmann n Mbappe look like they’ve arrived.")</f>
        <v>Mbappe just might be a good footballer. Oooh boy how has Mbappe not scored there. Starting to think my 4-0 France win might be unlikely #FRA. France might not get the win but Greizmann n Mbappe look like they’ve arrived.</v>
      </c>
      <c r="AH25" s="39" t="s">
        <v>18</v>
      </c>
      <c r="AK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1</v>
      </c>
      <c r="G26" s="5"/>
      <c r="J26" s="5"/>
      <c r="M26" s="5"/>
      <c r="P26" s="5"/>
      <c r="Q26" s="40">
        <f>IFERROR(__xludf.DUMMYFUNCTION("""COMPUTED_VALUE"""),44366.62252314815)</f>
        <v>44366.62252</v>
      </c>
      <c r="R26" s="5" t="str">
        <f>IFERROR(__xludf.DUMMYFUNCTION("""COMPUTED_VALUE"""),"Pogba best player in the world? WHAT A RESULT AND A MASSIVE POINT TO TAKE AWAY FOR HUNGARY AGAINST WORLD CHAMPIONS FRANCE #HUNFRA Euro 2020. #HUN 1-1 #FRA FT: It finishes level in Budapest as Hungary take a point from the World Cup Champions..")</f>
        <v>Pogba best player in the world? WHAT A RESULT AND A MASSIVE POINT TO TAKE AWAY FOR HUNGARY AGAINST WORLD CHAMPIONS FRANCE #HUNFRA Euro 2020. #HUN 1-1 #FRA FT: It finishes level in Budapest as Hungary take a point from the World Cup Champions..</v>
      </c>
      <c r="S26" s="39" t="s">
        <v>17</v>
      </c>
      <c r="V26" s="5"/>
      <c r="Y26" s="5"/>
      <c r="AB26" s="5"/>
      <c r="AE26" s="5"/>
      <c r="AF26" s="40">
        <f>IFERROR(__xludf.DUMMYFUNCTION("""COMPUTED_VALUE"""),44366.61849537037)</f>
        <v>44366.6185</v>
      </c>
      <c r="AG26" s="5" t="str">
        <f>IFERROR(__xludf.DUMMYFUNCTION("""COMPUTED_VALUE"""),"Kante’s been smiling so well how are they not winning. Pogba and Kante pivot about to finally lose. I’m happy Toyin dropped his Kante agenda after that UCL win or? 👀. If kante wins the Ballon Dor im not watching football anymore.")</f>
        <v>Kante’s been smiling so well how are they not winning. Pogba and Kante pivot about to finally lose. I’m happy Toyin dropped his Kante agenda after that UCL win or? 👀. If kante wins the Ballon Dor im not watching football anymore.</v>
      </c>
      <c r="AH26" s="39" t="s">
        <v>1147</v>
      </c>
      <c r="AK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49</v>
      </c>
      <c r="B27" s="19" t="s">
        <v>61</v>
      </c>
      <c r="C27" s="21">
        <v>10.0</v>
      </c>
      <c r="D27" s="35" t="b">
        <v>1</v>
      </c>
      <c r="G27" s="5"/>
      <c r="J27" s="5"/>
      <c r="M27" s="5"/>
      <c r="P27" s="5"/>
      <c r="Q27" s="40">
        <f>IFERROR(__xludf.DUMMYFUNCTION("""COMPUTED_VALUE"""),44366.62396990741)</f>
        <v>44366.62397</v>
      </c>
      <c r="R27" s="5" t="str">
        <f>IFERROR(__xludf.DUMMYFUNCTION("""COMPUTED_VALUE"""),"Hungry players celebrating as if they are in the next round already #HUNFRA. And Hungry were hungry enough to take the draw. This french team can't covert but good job to the Hungarians. #HUNFRA. Euro 2021.")</f>
        <v>Hungry players celebrating as if they are in the next round already #HUNFRA. And Hungry were hungry enough to take the draw. This french team can't covert but good job to the Hungarians. #HUNFRA. Euro 2021.</v>
      </c>
      <c r="S27" s="5"/>
      <c r="V27" s="5"/>
      <c r="Y27" s="5"/>
      <c r="AB27" s="5"/>
      <c r="AE27" s="5"/>
      <c r="AF27" s="40">
        <f>IFERROR(__xludf.DUMMYFUNCTION("""COMPUTED_VALUE"""),44366.62217592592)</f>
        <v>44366.62218</v>
      </c>
      <c r="AG27" s="5" t="str">
        <f>IFERROR(__xludf.DUMMYFUNCTION("""COMPUTED_VALUE"""),"Start Giroud ➡️ win the World Cup. Start Benzema ➡️ can’t beat Hungary. 🤷‍♂️. Football fans when they see France and England have the same points Euro 2020. 1-1 against the World Champions. I can live with that. :-P #Hun #Fra.")</f>
        <v>Start Giroud ➡️ win the World Cup. Start Benzema ➡️ can’t beat Hungary. 🤷‍♂️. Football fans when they see France and England have the same points Euro 2020. 1-1 against the World Champions. I can live with that. :-P #Hun #Fra.</v>
      </c>
      <c r="AH27" s="39" t="s">
        <v>17</v>
      </c>
      <c r="AK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53</v>
      </c>
      <c r="B28" s="19" t="s">
        <v>62</v>
      </c>
      <c r="C28" s="21">
        <v>26.0</v>
      </c>
      <c r="D28" s="35" t="b">
        <v>0</v>
      </c>
      <c r="G28" s="5"/>
      <c r="J28" s="5"/>
      <c r="M28" s="5"/>
      <c r="P28" s="5"/>
      <c r="S28" s="5"/>
      <c r="V28" s="5"/>
      <c r="Y28" s="5"/>
      <c r="AB28" s="5"/>
      <c r="AE28" s="5"/>
      <c r="AH28" s="5"/>
      <c r="AK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47</v>
      </c>
      <c r="B29" s="19" t="s">
        <v>63</v>
      </c>
      <c r="C29" s="21">
        <v>45.0</v>
      </c>
      <c r="D29" s="35" t="b">
        <v>1</v>
      </c>
      <c r="G29" s="5"/>
      <c r="J29" s="5"/>
      <c r="M29" s="5"/>
      <c r="P29" s="5"/>
      <c r="S29" s="5"/>
      <c r="V29" s="5"/>
      <c r="Y29" s="5"/>
      <c r="AB29" s="5"/>
      <c r="AE29" s="5"/>
      <c r="AH29" s="5"/>
      <c r="AK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51</v>
      </c>
      <c r="B30" s="19" t="s">
        <v>64</v>
      </c>
      <c r="C30" s="21">
        <v>45.0</v>
      </c>
      <c r="D30" s="35" t="b">
        <v>0</v>
      </c>
      <c r="G30" s="5"/>
      <c r="J30" s="5"/>
      <c r="M30" s="5"/>
      <c r="P30" s="5"/>
      <c r="S30" s="5"/>
      <c r="V30" s="5"/>
      <c r="Y30" s="5"/>
      <c r="AB30" s="5"/>
      <c r="AE30" s="5"/>
      <c r="AH30" s="5"/>
      <c r="AK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51</v>
      </c>
      <c r="B31" s="19" t="s">
        <v>65</v>
      </c>
      <c r="C31" s="21">
        <v>46.0</v>
      </c>
      <c r="D31" s="35" t="b">
        <v>0</v>
      </c>
      <c r="G31" s="5"/>
      <c r="J31" s="5"/>
      <c r="M31" s="5"/>
      <c r="P31" s="5"/>
      <c r="S31" s="5"/>
      <c r="V31" s="5"/>
      <c r="Y31" s="5"/>
      <c r="AB31" s="5"/>
      <c r="AE31" s="5"/>
      <c r="AH31" s="5"/>
      <c r="AK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49</v>
      </c>
      <c r="B32" s="19" t="s">
        <v>66</v>
      </c>
      <c r="C32" s="21">
        <v>52.0</v>
      </c>
      <c r="D32" s="35" t="b">
        <v>0</v>
      </c>
      <c r="G32" s="5"/>
      <c r="J32" s="5"/>
      <c r="M32" s="5"/>
      <c r="P32" s="5"/>
      <c r="S32" s="5"/>
      <c r="V32" s="5"/>
      <c r="Y32" s="5"/>
      <c r="AB32" s="5"/>
      <c r="AE32" s="5"/>
      <c r="AH32" s="5"/>
      <c r="AK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53</v>
      </c>
      <c r="B33" s="19" t="s">
        <v>67</v>
      </c>
      <c r="C33" s="21">
        <v>57.0</v>
      </c>
      <c r="D33" s="35" t="b">
        <v>1</v>
      </c>
      <c r="G33" s="5"/>
      <c r="J33" s="5"/>
      <c r="M33" s="5"/>
      <c r="P33" s="5"/>
      <c r="S33" s="5"/>
      <c r="V33" s="5"/>
      <c r="Y33" s="5"/>
      <c r="AB33" s="5"/>
      <c r="AE33" s="5"/>
      <c r="AH33" s="5"/>
      <c r="AK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47</v>
      </c>
      <c r="B34" s="19" t="s">
        <v>68</v>
      </c>
      <c r="C34" s="21">
        <v>66.0</v>
      </c>
      <c r="D34" s="35" t="b">
        <v>1</v>
      </c>
      <c r="G34" s="5"/>
      <c r="J34" s="5"/>
      <c r="M34" s="5"/>
      <c r="P34" s="5"/>
      <c r="S34" s="5"/>
      <c r="V34" s="5"/>
      <c r="Y34" s="5"/>
      <c r="AB34" s="5"/>
      <c r="AE34" s="5"/>
      <c r="AH34" s="5"/>
      <c r="AK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19" t="s">
        <v>69</v>
      </c>
      <c r="C35" s="21">
        <v>75.0</v>
      </c>
      <c r="D35" s="35" t="b">
        <v>0</v>
      </c>
      <c r="G35" s="5"/>
      <c r="J35" s="5"/>
      <c r="M35" s="5"/>
      <c r="P35" s="5"/>
      <c r="S35" s="5"/>
      <c r="V35" s="5"/>
      <c r="Y35" s="5"/>
      <c r="AB35" s="5"/>
      <c r="AE35" s="5"/>
      <c r="AH35" s="5"/>
      <c r="AK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19" t="s">
        <v>70</v>
      </c>
      <c r="C36" s="21">
        <v>76.0</v>
      </c>
      <c r="D36" s="35" t="b">
        <v>1</v>
      </c>
      <c r="G36" s="5"/>
      <c r="J36" s="5"/>
      <c r="M36" s="5"/>
      <c r="P36" s="5"/>
      <c r="S36" s="5"/>
      <c r="V36" s="5"/>
      <c r="Y36" s="5"/>
      <c r="AB36" s="5"/>
      <c r="AE36" s="5"/>
      <c r="AH36" s="5"/>
      <c r="AK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53</v>
      </c>
      <c r="B37" s="19" t="s">
        <v>71</v>
      </c>
      <c r="C37" s="21">
        <v>76.0</v>
      </c>
      <c r="D37" s="35" t="b">
        <v>1</v>
      </c>
      <c r="G37" s="5"/>
      <c r="J37" s="5"/>
      <c r="M37" s="5"/>
      <c r="P37" s="5"/>
      <c r="S37" s="5"/>
      <c r="V37" s="5"/>
      <c r="Y37" s="5"/>
      <c r="AB37" s="5"/>
      <c r="AE37" s="5"/>
      <c r="AH37" s="5"/>
      <c r="AK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19" t="s">
        <v>72</v>
      </c>
      <c r="C38" s="21">
        <v>84.0</v>
      </c>
      <c r="D38" s="35" t="b">
        <v>0</v>
      </c>
      <c r="G38" s="5"/>
      <c r="J38" s="5"/>
      <c r="M38" s="5"/>
      <c r="P38" s="5"/>
      <c r="S38" s="5"/>
      <c r="V38" s="5"/>
      <c r="Y38" s="5"/>
      <c r="AB38" s="5"/>
      <c r="AE38" s="5"/>
      <c r="AH38" s="5"/>
      <c r="AK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53</v>
      </c>
      <c r="B39" s="19" t="s">
        <v>73</v>
      </c>
      <c r="C39" s="21">
        <v>87.0</v>
      </c>
      <c r="D39" s="35" t="b">
        <v>1</v>
      </c>
      <c r="G39" s="5"/>
      <c r="J39" s="5"/>
      <c r="M39" s="5"/>
      <c r="P39" s="5"/>
      <c r="S39" s="5"/>
      <c r="V39" s="5"/>
      <c r="Y39" s="5"/>
      <c r="AB39" s="5"/>
      <c r="AE39" s="5"/>
      <c r="AH39" s="5"/>
      <c r="AK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t="s">
        <v>51</v>
      </c>
      <c r="B40" s="19" t="s">
        <v>74</v>
      </c>
      <c r="C40" s="21">
        <v>90.0</v>
      </c>
      <c r="D40" s="35" t="b">
        <v>1</v>
      </c>
      <c r="G40" s="5"/>
      <c r="J40" s="5"/>
      <c r="M40" s="5"/>
      <c r="P40" s="5"/>
      <c r="S40" s="5"/>
      <c r="V40" s="5"/>
      <c r="Y40" s="5"/>
      <c r="AB40" s="5"/>
      <c r="AE40" s="5"/>
      <c r="AH40" s="5"/>
      <c r="AK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G41" s="5"/>
      <c r="J41" s="5"/>
      <c r="M41" s="5"/>
      <c r="P41" s="5"/>
      <c r="S41" s="5"/>
      <c r="V41" s="5"/>
      <c r="Y41" s="5"/>
      <c r="AB41" s="5"/>
      <c r="AE41" s="5"/>
      <c r="AH41" s="5"/>
      <c r="AK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B46" s="37"/>
      <c r="C46" s="26"/>
      <c r="D46" s="19"/>
      <c r="G46" s="5"/>
      <c r="J46" s="5"/>
      <c r="M46" s="5"/>
      <c r="P46" s="5"/>
      <c r="S46" s="5"/>
      <c r="V46" s="5"/>
      <c r="Y46" s="5"/>
      <c r="AB46" s="5"/>
      <c r="AE46" s="5"/>
      <c r="AH46" s="5"/>
      <c r="AK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row r="881">
      <c r="AO881" s="40"/>
      <c r="AP881" s="5"/>
      <c r="AR881" s="40"/>
      <c r="AS881" s="5"/>
      <c r="AU881" s="40"/>
      <c r="AV881" s="5"/>
      <c r="AX881" s="40"/>
      <c r="AY881" s="5"/>
      <c r="BA881" s="40"/>
      <c r="BB881" s="5"/>
      <c r="BD881" s="40"/>
      <c r="BE881" s="5"/>
      <c r="BG881" s="40"/>
      <c r="BH881" s="5"/>
      <c r="BJ881" s="40"/>
      <c r="BK881" s="5"/>
      <c r="BM881" s="40"/>
      <c r="BN881" s="5"/>
      <c r="BP881" s="40"/>
      <c r="BQ881" s="5"/>
      <c r="BS881" s="40"/>
      <c r="BT881" s="5"/>
      <c r="BV881" s="40"/>
      <c r="BW881" s="5"/>
      <c r="BY881" s="40"/>
      <c r="BZ881" s="5"/>
      <c r="CB881" s="40"/>
      <c r="CC881" s="5"/>
      <c r="CE881" s="40"/>
      <c r="CF881" s="5"/>
      <c r="CH881" s="40"/>
      <c r="CI881" s="5"/>
      <c r="CK881" s="40"/>
      <c r="CL881" s="5"/>
      <c r="CN881" s="40"/>
      <c r="CO881" s="5"/>
      <c r="CQ881" s="40"/>
      <c r="CR881" s="5"/>
    </row>
    <row r="882">
      <c r="AO882" s="40"/>
      <c r="AP882" s="5"/>
      <c r="AR882" s="40"/>
      <c r="AS882" s="5"/>
      <c r="AU882" s="40"/>
      <c r="AV882" s="5"/>
      <c r="AX882" s="40"/>
      <c r="AY882" s="5"/>
      <c r="BA882" s="40"/>
      <c r="BB882" s="5"/>
      <c r="BD882" s="40"/>
      <c r="BE882" s="5"/>
      <c r="BG882" s="40"/>
      <c r="BH882" s="5"/>
      <c r="BJ882" s="40"/>
      <c r="BK882" s="5"/>
      <c r="BM882" s="40"/>
      <c r="BN882" s="5"/>
      <c r="BP882" s="40"/>
      <c r="BQ882" s="5"/>
      <c r="BS882" s="40"/>
      <c r="BT882" s="5"/>
      <c r="BV882" s="40"/>
      <c r="BW882" s="5"/>
      <c r="BY882" s="40"/>
      <c r="BZ882" s="5"/>
      <c r="CB882" s="40"/>
      <c r="CC882" s="5"/>
      <c r="CE882" s="40"/>
      <c r="CF882" s="5"/>
      <c r="CH882" s="40"/>
      <c r="CI882" s="5"/>
      <c r="CK882" s="40"/>
      <c r="CL882" s="5"/>
      <c r="CN882" s="40"/>
      <c r="CO882" s="5"/>
      <c r="CQ882" s="40"/>
      <c r="CR882" s="5"/>
    </row>
    <row r="883">
      <c r="AO883" s="40"/>
      <c r="AP883" s="5"/>
      <c r="AR883" s="40"/>
      <c r="AS883" s="5"/>
      <c r="AU883" s="40"/>
      <c r="AV883" s="5"/>
      <c r="AX883" s="40"/>
      <c r="AY883" s="5"/>
      <c r="BA883" s="40"/>
      <c r="BB883" s="5"/>
      <c r="BD883" s="40"/>
      <c r="BE883" s="5"/>
      <c r="BG883" s="40"/>
      <c r="BH883" s="5"/>
      <c r="BJ883" s="40"/>
      <c r="BK883" s="5"/>
      <c r="BM883" s="40"/>
      <c r="BN883" s="5"/>
      <c r="BP883" s="40"/>
      <c r="BQ883" s="5"/>
      <c r="BS883" s="40"/>
      <c r="BT883" s="5"/>
      <c r="BV883" s="40"/>
      <c r="BW883" s="5"/>
      <c r="BY883" s="40"/>
      <c r="BZ883" s="5"/>
      <c r="CB883" s="40"/>
      <c r="CC883" s="5"/>
      <c r="CE883" s="40"/>
      <c r="CF883" s="5"/>
      <c r="CH883" s="40"/>
      <c r="CI883" s="5"/>
      <c r="CK883" s="40"/>
      <c r="CL883" s="5"/>
      <c r="CN883" s="40"/>
      <c r="CO883" s="5"/>
      <c r="CQ883" s="40"/>
      <c r="CR883" s="5"/>
    </row>
    <row r="884">
      <c r="AO884" s="40"/>
      <c r="AP884" s="5"/>
      <c r="AR884" s="40"/>
      <c r="AS884" s="5"/>
      <c r="AU884" s="40"/>
      <c r="AV884" s="5"/>
      <c r="AX884" s="40"/>
      <c r="AY884" s="5"/>
      <c r="BA884" s="40"/>
      <c r="BB884" s="5"/>
      <c r="BD884" s="40"/>
      <c r="BE884" s="5"/>
      <c r="BG884" s="40"/>
      <c r="BH884" s="5"/>
      <c r="BJ884" s="40"/>
      <c r="BK884" s="5"/>
      <c r="BM884" s="40"/>
      <c r="BN884" s="5"/>
      <c r="BP884" s="40"/>
      <c r="BQ884" s="5"/>
      <c r="BS884" s="40"/>
      <c r="BT884" s="5"/>
      <c r="BV884" s="40"/>
      <c r="BW884" s="5"/>
      <c r="BY884" s="40"/>
      <c r="BZ884" s="5"/>
      <c r="CB884" s="40"/>
      <c r="CC884" s="5"/>
      <c r="CE884" s="40"/>
      <c r="CF884" s="5"/>
      <c r="CH884" s="40"/>
      <c r="CI884" s="5"/>
      <c r="CK884" s="40"/>
      <c r="CL884" s="5"/>
      <c r="CN884" s="40"/>
      <c r="CO884" s="5"/>
      <c r="CQ884" s="40"/>
      <c r="CR884" s="5"/>
    </row>
    <row r="885">
      <c r="AO885" s="40"/>
      <c r="AP885" s="5"/>
      <c r="AR885" s="40"/>
      <c r="AS885" s="5"/>
      <c r="AU885" s="40"/>
      <c r="AV885" s="5"/>
      <c r="AX885" s="40"/>
      <c r="AY885" s="5"/>
      <c r="BA885" s="40"/>
      <c r="BB885" s="5"/>
      <c r="BD885" s="40"/>
      <c r="BE885" s="5"/>
      <c r="BG885" s="40"/>
      <c r="BH885" s="5"/>
      <c r="BJ885" s="40"/>
      <c r="BK885" s="5"/>
      <c r="BM885" s="40"/>
      <c r="BN885" s="5"/>
      <c r="BP885" s="40"/>
      <c r="BQ885" s="5"/>
      <c r="BS885" s="40"/>
      <c r="BT885" s="5"/>
      <c r="BV885" s="40"/>
      <c r="BW885" s="5"/>
      <c r="BY885" s="40"/>
      <c r="BZ885" s="5"/>
      <c r="CB885" s="40"/>
      <c r="CC885" s="5"/>
      <c r="CE885" s="40"/>
      <c r="CF885" s="5"/>
      <c r="CH885" s="40"/>
      <c r="CI885" s="5"/>
      <c r="CK885" s="40"/>
      <c r="CL885" s="5"/>
      <c r="CN885" s="40"/>
      <c r="CO885" s="5"/>
      <c r="CQ885" s="40"/>
      <c r="CR885" s="5"/>
    </row>
    <row r="886">
      <c r="AO886" s="40"/>
      <c r="AP886" s="5"/>
      <c r="AR886" s="40"/>
      <c r="AS886" s="5"/>
      <c r="AU886" s="40"/>
      <c r="AV886" s="5"/>
      <c r="AX886" s="40"/>
      <c r="AY886" s="5"/>
      <c r="BA886" s="40"/>
      <c r="BB886" s="5"/>
      <c r="BD886" s="40"/>
      <c r="BE886" s="5"/>
      <c r="BG886" s="40"/>
      <c r="BH886" s="5"/>
      <c r="BJ886" s="40"/>
      <c r="BK886" s="5"/>
      <c r="BM886" s="40"/>
      <c r="BN886" s="5"/>
      <c r="BP886" s="40"/>
      <c r="BQ886" s="5"/>
      <c r="BS886" s="40"/>
      <c r="BT886" s="5"/>
      <c r="BV886" s="40"/>
      <c r="BW886" s="5"/>
      <c r="BY886" s="40"/>
      <c r="BZ886" s="5"/>
      <c r="CB886" s="40"/>
      <c r="CC886" s="5"/>
      <c r="CE886" s="40"/>
      <c r="CF886" s="5"/>
      <c r="CH886" s="40"/>
      <c r="CI886" s="5"/>
      <c r="CK886" s="40"/>
      <c r="CL886" s="5"/>
      <c r="CN886" s="40"/>
      <c r="CO886" s="5"/>
      <c r="CQ886" s="40"/>
      <c r="CR886" s="5"/>
    </row>
    <row r="887">
      <c r="AO887" s="40"/>
      <c r="AP887" s="5"/>
      <c r="AR887" s="40"/>
      <c r="AS887" s="5"/>
      <c r="AU887" s="40"/>
      <c r="AV887" s="5"/>
      <c r="AX887" s="40"/>
      <c r="AY887" s="5"/>
      <c r="BA887" s="40"/>
      <c r="BB887" s="5"/>
      <c r="BD887" s="40"/>
      <c r="BE887" s="5"/>
      <c r="BG887" s="40"/>
      <c r="BH887" s="5"/>
      <c r="BJ887" s="40"/>
      <c r="BK887" s="5"/>
      <c r="BM887" s="40"/>
      <c r="BN887" s="5"/>
      <c r="BP887" s="40"/>
      <c r="BQ887" s="5"/>
      <c r="BS887" s="40"/>
      <c r="BT887" s="5"/>
      <c r="BV887" s="40"/>
      <c r="BW887" s="5"/>
      <c r="BY887" s="40"/>
      <c r="BZ887" s="5"/>
      <c r="CB887" s="40"/>
      <c r="CC887" s="5"/>
      <c r="CE887" s="40"/>
      <c r="CF887" s="5"/>
      <c r="CH887" s="40"/>
      <c r="CI887" s="5"/>
      <c r="CK887" s="40"/>
      <c r="CL887" s="5"/>
      <c r="CN887" s="40"/>
      <c r="CO887" s="5"/>
      <c r="CQ887" s="40"/>
      <c r="CR887" s="5"/>
    </row>
    <row r="888">
      <c r="AO888" s="40"/>
      <c r="AP888" s="5"/>
      <c r="AR888" s="40"/>
      <c r="AS888" s="5"/>
      <c r="AU888" s="40"/>
      <c r="AV888" s="5"/>
      <c r="AX888" s="40"/>
      <c r="AY888" s="5"/>
      <c r="BA888" s="40"/>
      <c r="BB888" s="5"/>
      <c r="BD888" s="40"/>
      <c r="BE888" s="5"/>
      <c r="BG888" s="40"/>
      <c r="BH888" s="5"/>
      <c r="BJ888" s="40"/>
      <c r="BK888" s="5"/>
      <c r="BM888" s="40"/>
      <c r="BN888" s="5"/>
      <c r="BP888" s="40"/>
      <c r="BQ888" s="5"/>
      <c r="BS888" s="40"/>
      <c r="BT888" s="5"/>
      <c r="BV888" s="40"/>
      <c r="BW888" s="5"/>
      <c r="BY888" s="40"/>
      <c r="BZ888" s="5"/>
      <c r="CB888" s="40"/>
      <c r="CC888" s="5"/>
      <c r="CE888" s="40"/>
      <c r="CF888" s="5"/>
      <c r="CH888" s="40"/>
      <c r="CI888" s="5"/>
      <c r="CK888" s="40"/>
      <c r="CL888" s="5"/>
      <c r="CN888" s="40"/>
      <c r="CO888" s="5"/>
      <c r="CQ888" s="40"/>
      <c r="CR888" s="5"/>
    </row>
    <row r="889">
      <c r="AO889" s="40"/>
      <c r="AP889" s="5"/>
      <c r="AR889" s="40"/>
      <c r="AS889" s="5"/>
      <c r="AU889" s="40"/>
      <c r="AV889" s="5"/>
      <c r="AX889" s="40"/>
      <c r="AY889" s="5"/>
      <c r="BA889" s="40"/>
      <c r="BB889" s="5"/>
      <c r="BD889" s="40"/>
      <c r="BE889" s="5"/>
      <c r="BG889" s="40"/>
      <c r="BH889" s="5"/>
      <c r="BJ889" s="40"/>
      <c r="BK889" s="5"/>
      <c r="BM889" s="40"/>
      <c r="BN889" s="5"/>
      <c r="BP889" s="40"/>
      <c r="BQ889" s="5"/>
      <c r="BS889" s="40"/>
      <c r="BT889" s="5"/>
      <c r="BV889" s="40"/>
      <c r="BW889" s="5"/>
      <c r="BY889" s="40"/>
      <c r="BZ889" s="5"/>
      <c r="CB889" s="40"/>
      <c r="CC889" s="5"/>
      <c r="CE889" s="40"/>
      <c r="CF889" s="5"/>
      <c r="CH889" s="40"/>
      <c r="CI889" s="5"/>
      <c r="CK889" s="40"/>
      <c r="CL889" s="5"/>
      <c r="CN889" s="40"/>
      <c r="CO889" s="5"/>
      <c r="CQ889" s="40"/>
      <c r="CR889" s="5"/>
    </row>
    <row r="890">
      <c r="AO890" s="40"/>
      <c r="AP890" s="5"/>
      <c r="AR890" s="40"/>
      <c r="AS890" s="5"/>
      <c r="AU890" s="40"/>
      <c r="AV890" s="5"/>
      <c r="AX890" s="40"/>
      <c r="AY890" s="5"/>
      <c r="BA890" s="40"/>
      <c r="BB890" s="5"/>
      <c r="BD890" s="40"/>
      <c r="BE890" s="5"/>
      <c r="BG890" s="40"/>
      <c r="BH890" s="5"/>
      <c r="BJ890" s="40"/>
      <c r="BK890" s="5"/>
      <c r="BM890" s="40"/>
      <c r="BN890" s="5"/>
      <c r="BP890" s="40"/>
      <c r="BQ890" s="5"/>
      <c r="BS890" s="40"/>
      <c r="BT890" s="5"/>
      <c r="BV890" s="40"/>
      <c r="BW890" s="5"/>
      <c r="BY890" s="40"/>
      <c r="BZ890" s="5"/>
      <c r="CB890" s="40"/>
      <c r="CC890" s="5"/>
      <c r="CE890" s="40"/>
      <c r="CF890" s="5"/>
      <c r="CH890" s="40"/>
      <c r="CI890" s="5"/>
      <c r="CK890" s="40"/>
      <c r="CL890" s="5"/>
      <c r="CN890" s="40"/>
      <c r="CO890" s="5"/>
      <c r="CQ890" s="40"/>
      <c r="CR890" s="5"/>
    </row>
    <row r="891">
      <c r="AO891" s="40"/>
      <c r="AP891" s="5"/>
      <c r="AR891" s="40"/>
      <c r="AS891" s="5"/>
      <c r="AU891" s="40"/>
      <c r="AV891" s="5"/>
      <c r="AX891" s="40"/>
      <c r="AY891" s="5"/>
      <c r="BA891" s="40"/>
      <c r="BB891" s="5"/>
      <c r="BD891" s="40"/>
      <c r="BE891" s="5"/>
      <c r="BG891" s="40"/>
      <c r="BH891" s="5"/>
      <c r="BJ891" s="40"/>
      <c r="BK891" s="5"/>
      <c r="BM891" s="40"/>
      <c r="BN891" s="5"/>
      <c r="BP891" s="40"/>
      <c r="BQ891" s="5"/>
      <c r="BS891" s="40"/>
      <c r="BT891" s="5"/>
      <c r="BV891" s="40"/>
      <c r="BW891" s="5"/>
      <c r="BY891" s="40"/>
      <c r="BZ891" s="5"/>
      <c r="CB891" s="40"/>
      <c r="CC891" s="5"/>
      <c r="CE891" s="40"/>
      <c r="CF891" s="5"/>
      <c r="CH891" s="40"/>
      <c r="CI891" s="5"/>
      <c r="CK891" s="40"/>
      <c r="CL891" s="5"/>
      <c r="CN891" s="40"/>
      <c r="CO891" s="5"/>
      <c r="CQ891" s="40"/>
      <c r="CR891" s="5"/>
    </row>
    <row r="892">
      <c r="AO892" s="40"/>
      <c r="AP892" s="5"/>
      <c r="AR892" s="40"/>
      <c r="AS892" s="5"/>
      <c r="AU892" s="40"/>
      <c r="AV892" s="5"/>
      <c r="AX892" s="40"/>
      <c r="AY892" s="5"/>
      <c r="BA892" s="40"/>
      <c r="BB892" s="5"/>
      <c r="BD892" s="40"/>
      <c r="BE892" s="5"/>
      <c r="BG892" s="40"/>
      <c r="BH892" s="5"/>
      <c r="BJ892" s="40"/>
      <c r="BK892" s="5"/>
      <c r="BM892" s="40"/>
      <c r="BN892" s="5"/>
      <c r="BP892" s="40"/>
      <c r="BQ892" s="5"/>
      <c r="BS892" s="40"/>
      <c r="BT892" s="5"/>
      <c r="BV892" s="40"/>
      <c r="BW892" s="5"/>
      <c r="BY892" s="40"/>
      <c r="BZ892" s="5"/>
      <c r="CB892" s="40"/>
      <c r="CC892" s="5"/>
      <c r="CE892" s="40"/>
      <c r="CF892" s="5"/>
      <c r="CH892" s="40"/>
      <c r="CI892" s="5"/>
      <c r="CK892" s="40"/>
      <c r="CL892" s="5"/>
      <c r="CN892" s="40"/>
      <c r="CO892" s="5"/>
      <c r="CQ892" s="40"/>
      <c r="CR892" s="5"/>
    </row>
    <row r="893">
      <c r="AO893" s="40"/>
      <c r="AP893" s="5"/>
      <c r="AR893" s="40"/>
      <c r="AS893" s="5"/>
      <c r="AU893" s="40"/>
      <c r="AV893" s="5"/>
      <c r="AX893" s="40"/>
      <c r="AY893" s="5"/>
      <c r="BA893" s="40"/>
      <c r="BB893" s="5"/>
      <c r="BD893" s="40"/>
      <c r="BE893" s="5"/>
      <c r="BG893" s="40"/>
      <c r="BH893" s="5"/>
      <c r="BJ893" s="40"/>
      <c r="BK893" s="5"/>
      <c r="BM893" s="40"/>
      <c r="BN893" s="5"/>
      <c r="BP893" s="40"/>
      <c r="BQ893" s="5"/>
      <c r="BS893" s="40"/>
      <c r="BT893" s="5"/>
      <c r="BV893" s="40"/>
      <c r="BW893" s="5"/>
      <c r="BY893" s="40"/>
      <c r="BZ893" s="5"/>
      <c r="CB893" s="40"/>
      <c r="CC893" s="5"/>
      <c r="CE893" s="40"/>
      <c r="CF893" s="5"/>
      <c r="CH893" s="40"/>
      <c r="CI893" s="5"/>
      <c r="CK893" s="40"/>
      <c r="CL893" s="5"/>
      <c r="CN893" s="40"/>
      <c r="CO893" s="5"/>
      <c r="CQ893" s="40"/>
      <c r="CR893" s="5"/>
    </row>
    <row r="894">
      <c r="AO894" s="40"/>
      <c r="AP894" s="5"/>
      <c r="AR894" s="40"/>
      <c r="AS894" s="5"/>
      <c r="AU894" s="40"/>
      <c r="AV894" s="5"/>
      <c r="AX894" s="40"/>
      <c r="AY894" s="5"/>
      <c r="BA894" s="40"/>
      <c r="BB894" s="5"/>
      <c r="BD894" s="40"/>
      <c r="BE894" s="5"/>
      <c r="BG894" s="40"/>
      <c r="BH894" s="5"/>
      <c r="BJ894" s="40"/>
      <c r="BK894" s="5"/>
      <c r="BM894" s="40"/>
      <c r="BN894" s="5"/>
      <c r="BP894" s="40"/>
      <c r="BQ894" s="5"/>
      <c r="BS894" s="40"/>
      <c r="BT894" s="5"/>
      <c r="BV894" s="40"/>
      <c r="BW894" s="5"/>
      <c r="BY894" s="40"/>
      <c r="BZ894" s="5"/>
      <c r="CB894" s="40"/>
      <c r="CC894" s="5"/>
      <c r="CE894" s="40"/>
      <c r="CF894" s="5"/>
      <c r="CH894" s="40"/>
      <c r="CI894" s="5"/>
      <c r="CK894" s="40"/>
      <c r="CL894" s="5"/>
      <c r="CN894" s="40"/>
      <c r="CO894" s="5"/>
      <c r="CQ894" s="40"/>
      <c r="CR894" s="5"/>
    </row>
    <row r="895">
      <c r="AO895" s="40"/>
      <c r="AP895" s="5"/>
      <c r="AR895" s="40"/>
      <c r="AS895" s="5"/>
      <c r="AU895" s="40"/>
      <c r="AV895" s="5"/>
      <c r="AX895" s="40"/>
      <c r="AY895" s="5"/>
      <c r="BA895" s="40"/>
      <c r="BB895" s="5"/>
      <c r="BD895" s="40"/>
      <c r="BE895" s="5"/>
      <c r="BG895" s="40"/>
      <c r="BH895" s="5"/>
      <c r="BJ895" s="40"/>
      <c r="BK895" s="5"/>
      <c r="BM895" s="40"/>
      <c r="BN895" s="5"/>
      <c r="BP895" s="40"/>
      <c r="BQ895" s="5"/>
      <c r="BS895" s="40"/>
      <c r="BT895" s="5"/>
      <c r="BV895" s="40"/>
      <c r="BW895" s="5"/>
      <c r="BY895" s="40"/>
      <c r="BZ895" s="5"/>
      <c r="CB895" s="40"/>
      <c r="CC895" s="5"/>
      <c r="CE895" s="40"/>
      <c r="CF895" s="5"/>
      <c r="CH895" s="40"/>
      <c r="CI895" s="5"/>
      <c r="CK895" s="40"/>
      <c r="CL895" s="5"/>
      <c r="CN895" s="40"/>
      <c r="CO895" s="5"/>
      <c r="CQ895" s="40"/>
      <c r="CR895" s="5"/>
    </row>
    <row r="896">
      <c r="AO896" s="40"/>
      <c r="AP896" s="5"/>
      <c r="AR896" s="40"/>
      <c r="AS896" s="5"/>
      <c r="AU896" s="40"/>
      <c r="AV896" s="5"/>
      <c r="AX896" s="40"/>
      <c r="AY896" s="5"/>
      <c r="BA896" s="40"/>
      <c r="BB896" s="5"/>
      <c r="BD896" s="40"/>
      <c r="BE896" s="5"/>
      <c r="BG896" s="40"/>
      <c r="BH896" s="5"/>
      <c r="BJ896" s="40"/>
      <c r="BK896" s="5"/>
      <c r="BM896" s="40"/>
      <c r="BN896" s="5"/>
      <c r="BP896" s="40"/>
      <c r="BQ896" s="5"/>
      <c r="BS896" s="40"/>
      <c r="BT896" s="5"/>
      <c r="BV896" s="40"/>
      <c r="BW896" s="5"/>
      <c r="BY896" s="40"/>
      <c r="BZ896" s="5"/>
      <c r="CB896" s="40"/>
      <c r="CC896" s="5"/>
      <c r="CE896" s="40"/>
      <c r="CF896" s="5"/>
      <c r="CH896" s="40"/>
      <c r="CI896" s="5"/>
      <c r="CK896" s="40"/>
      <c r="CL896" s="5"/>
      <c r="CN896" s="40"/>
      <c r="CO896" s="5"/>
      <c r="CQ896" s="40"/>
      <c r="CR896" s="5"/>
    </row>
    <row r="897">
      <c r="AO897" s="40"/>
      <c r="AP897" s="5"/>
      <c r="AR897" s="40"/>
      <c r="AS897" s="5"/>
      <c r="AU897" s="40"/>
      <c r="AV897" s="5"/>
      <c r="AX897" s="40"/>
      <c r="AY897" s="5"/>
      <c r="BA897" s="40"/>
      <c r="BB897" s="5"/>
      <c r="BD897" s="40"/>
      <c r="BE897" s="5"/>
      <c r="BG897" s="40"/>
      <c r="BH897" s="5"/>
      <c r="BJ897" s="40"/>
      <c r="BK897" s="5"/>
      <c r="BM897" s="40"/>
      <c r="BN897" s="5"/>
      <c r="BP897" s="40"/>
      <c r="BQ897" s="5"/>
      <c r="BS897" s="40"/>
      <c r="BT897" s="5"/>
      <c r="BV897" s="40"/>
      <c r="BW897" s="5"/>
      <c r="BY897" s="40"/>
      <c r="BZ897" s="5"/>
      <c r="CB897" s="40"/>
      <c r="CC897" s="5"/>
      <c r="CE897" s="40"/>
      <c r="CF897" s="5"/>
      <c r="CH897" s="40"/>
      <c r="CI897" s="5"/>
      <c r="CK897" s="40"/>
      <c r="CL897" s="5"/>
      <c r="CN897" s="40"/>
      <c r="CO897" s="5"/>
      <c r="CQ897" s="40"/>
      <c r="CR897" s="5"/>
    </row>
    <row r="898">
      <c r="AO898" s="40"/>
      <c r="AP898" s="5"/>
      <c r="AR898" s="40"/>
      <c r="AS898" s="5"/>
      <c r="AU898" s="40"/>
      <c r="AV898" s="5"/>
      <c r="AX898" s="40"/>
      <c r="AY898" s="5"/>
      <c r="BA898" s="40"/>
      <c r="BB898" s="5"/>
      <c r="BD898" s="40"/>
      <c r="BE898" s="5"/>
      <c r="BG898" s="40"/>
      <c r="BH898" s="5"/>
      <c r="BJ898" s="40"/>
      <c r="BK898" s="5"/>
      <c r="BM898" s="40"/>
      <c r="BN898" s="5"/>
      <c r="BP898" s="40"/>
      <c r="BQ898" s="5"/>
      <c r="BS898" s="40"/>
      <c r="BT898" s="5"/>
      <c r="BV898" s="40"/>
      <c r="BW898" s="5"/>
      <c r="BY898" s="40"/>
      <c r="BZ898" s="5"/>
      <c r="CB898" s="40"/>
      <c r="CC898" s="5"/>
      <c r="CE898" s="40"/>
      <c r="CF898" s="5"/>
      <c r="CH898" s="40"/>
      <c r="CI898" s="5"/>
      <c r="CK898" s="40"/>
      <c r="CL898" s="5"/>
      <c r="CN898" s="40"/>
      <c r="CO898" s="5"/>
      <c r="CQ898" s="40"/>
      <c r="CR898" s="5"/>
    </row>
    <row r="899">
      <c r="AO899" s="40"/>
      <c r="AP899" s="5"/>
      <c r="AR899" s="40"/>
      <c r="AS899" s="5"/>
      <c r="AU899" s="40"/>
      <c r="AV899" s="5"/>
      <c r="AX899" s="40"/>
      <c r="AY899" s="5"/>
      <c r="BA899" s="40"/>
      <c r="BB899" s="5"/>
      <c r="BD899" s="40"/>
      <c r="BE899" s="5"/>
      <c r="BG899" s="40"/>
      <c r="BH899" s="5"/>
      <c r="BJ899" s="40"/>
      <c r="BK899" s="5"/>
      <c r="BM899" s="40"/>
      <c r="BN899" s="5"/>
      <c r="BP899" s="40"/>
      <c r="BQ899" s="5"/>
      <c r="BS899" s="40"/>
      <c r="BT899" s="5"/>
      <c r="BV899" s="40"/>
      <c r="BW899" s="5"/>
      <c r="BY899" s="40"/>
      <c r="BZ899" s="5"/>
      <c r="CB899" s="40"/>
      <c r="CC899" s="5"/>
      <c r="CE899" s="40"/>
      <c r="CF899" s="5"/>
      <c r="CH899" s="40"/>
      <c r="CI899" s="5"/>
      <c r="CK899" s="40"/>
      <c r="CL899" s="5"/>
      <c r="CN899" s="40"/>
      <c r="CO899" s="5"/>
      <c r="CQ899" s="40"/>
      <c r="CR899" s="5"/>
    </row>
    <row r="900">
      <c r="AO900" s="40"/>
      <c r="AP900" s="5"/>
      <c r="AR900" s="40"/>
      <c r="AS900" s="5"/>
      <c r="AU900" s="40"/>
      <c r="AV900" s="5"/>
      <c r="AX900" s="40"/>
      <c r="AY900" s="5"/>
      <c r="BA900" s="40"/>
      <c r="BB900" s="5"/>
      <c r="BD900" s="40"/>
      <c r="BE900" s="5"/>
      <c r="BG900" s="40"/>
      <c r="BH900" s="5"/>
      <c r="BJ900" s="40"/>
      <c r="BK900" s="5"/>
      <c r="BM900" s="40"/>
      <c r="BN900" s="5"/>
      <c r="BP900" s="40"/>
      <c r="BQ900" s="5"/>
      <c r="BS900" s="40"/>
      <c r="BT900" s="5"/>
      <c r="BV900" s="40"/>
      <c r="BW900" s="5"/>
      <c r="BY900" s="40"/>
      <c r="BZ900" s="5"/>
      <c r="CB900" s="40"/>
      <c r="CC900" s="5"/>
      <c r="CE900" s="40"/>
      <c r="CF900" s="5"/>
      <c r="CH900" s="40"/>
      <c r="CI900" s="5"/>
      <c r="CK900" s="40"/>
      <c r="CL900" s="5"/>
      <c r="CN900" s="40"/>
      <c r="CO900" s="5"/>
      <c r="CQ900" s="40"/>
      <c r="CR900" s="5"/>
    </row>
    <row r="901">
      <c r="AO901" s="40"/>
      <c r="AP901" s="5"/>
      <c r="AR901" s="40"/>
      <c r="AS901" s="5"/>
      <c r="AU901" s="40"/>
      <c r="AV901" s="5"/>
      <c r="AX901" s="40"/>
      <c r="AY901" s="5"/>
      <c r="BA901" s="40"/>
      <c r="BB901" s="5"/>
      <c r="BD901" s="40"/>
      <c r="BE901" s="5"/>
      <c r="BG901" s="40"/>
      <c r="BH901" s="5"/>
      <c r="BJ901" s="40"/>
      <c r="BK901" s="5"/>
      <c r="BM901" s="40"/>
      <c r="BN901" s="5"/>
      <c r="BP901" s="40"/>
      <c r="BQ901" s="5"/>
      <c r="BS901" s="40"/>
      <c r="BT901" s="5"/>
      <c r="BV901" s="40"/>
      <c r="BW901" s="5"/>
      <c r="BY901" s="40"/>
      <c r="BZ901" s="5"/>
      <c r="CB901" s="40"/>
      <c r="CC901" s="5"/>
      <c r="CE901" s="40"/>
      <c r="CF901" s="5"/>
      <c r="CH901" s="40"/>
      <c r="CI901" s="5"/>
      <c r="CK901" s="40"/>
      <c r="CL901" s="5"/>
      <c r="CN901" s="40"/>
      <c r="CO901" s="5"/>
      <c r="CQ901" s="40"/>
      <c r="CR901" s="5"/>
    </row>
    <row r="902">
      <c r="AO902" s="40"/>
      <c r="AP902" s="5"/>
      <c r="AR902" s="40"/>
      <c r="AS902" s="5"/>
      <c r="AU902" s="40"/>
      <c r="AV902" s="5"/>
      <c r="AX902" s="40"/>
      <c r="AY902" s="5"/>
      <c r="BA902" s="40"/>
      <c r="BB902" s="5"/>
      <c r="BD902" s="40"/>
      <c r="BE902" s="5"/>
      <c r="BG902" s="40"/>
      <c r="BH902" s="5"/>
      <c r="BJ902" s="40"/>
      <c r="BK902" s="5"/>
      <c r="BM902" s="40"/>
      <c r="BN902" s="5"/>
      <c r="BP902" s="40"/>
      <c r="BQ902" s="5"/>
      <c r="BS902" s="40"/>
      <c r="BT902" s="5"/>
      <c r="BV902" s="40"/>
      <c r="BW902" s="5"/>
      <c r="BY902" s="40"/>
      <c r="BZ902" s="5"/>
      <c r="CB902" s="40"/>
      <c r="CC902" s="5"/>
      <c r="CE902" s="40"/>
      <c r="CF902" s="5"/>
      <c r="CH902" s="40"/>
      <c r="CI902" s="5"/>
      <c r="CK902" s="40"/>
      <c r="CL902" s="5"/>
      <c r="CN902" s="40"/>
      <c r="CO902" s="5"/>
      <c r="CQ902" s="40"/>
      <c r="CR902" s="5"/>
    </row>
    <row r="903">
      <c r="AO903" s="40"/>
      <c r="AP903" s="5"/>
      <c r="AR903" s="40"/>
      <c r="AS903" s="5"/>
      <c r="AU903" s="40"/>
      <c r="AV903" s="5"/>
      <c r="AX903" s="40"/>
      <c r="AY903" s="5"/>
      <c r="BA903" s="40"/>
      <c r="BB903" s="5"/>
      <c r="BD903" s="40"/>
      <c r="BE903" s="5"/>
      <c r="BG903" s="40"/>
      <c r="BH903" s="5"/>
      <c r="BJ903" s="40"/>
      <c r="BK903" s="5"/>
      <c r="BM903" s="40"/>
      <c r="BN903" s="5"/>
      <c r="BP903" s="40"/>
      <c r="BQ903" s="5"/>
      <c r="BS903" s="40"/>
      <c r="BT903" s="5"/>
      <c r="BV903" s="40"/>
      <c r="BW903" s="5"/>
      <c r="BY903" s="40"/>
      <c r="BZ903" s="5"/>
      <c r="CB903" s="40"/>
      <c r="CC903" s="5"/>
      <c r="CE903" s="40"/>
      <c r="CF903" s="5"/>
      <c r="CH903" s="40"/>
      <c r="CI903" s="5"/>
      <c r="CK903" s="40"/>
      <c r="CL903" s="5"/>
      <c r="CN903" s="40"/>
      <c r="CO903" s="5"/>
      <c r="CQ903" s="40"/>
      <c r="CR903" s="5"/>
    </row>
    <row r="904">
      <c r="AO904" s="40"/>
      <c r="AP904" s="5"/>
      <c r="AR904" s="40"/>
      <c r="AS904" s="5"/>
      <c r="AU904" s="40"/>
      <c r="AV904" s="5"/>
      <c r="AX904" s="40"/>
      <c r="AY904" s="5"/>
      <c r="BA904" s="40"/>
      <c r="BB904" s="5"/>
      <c r="BD904" s="40"/>
      <c r="BE904" s="5"/>
      <c r="BG904" s="40"/>
      <c r="BH904" s="5"/>
      <c r="BJ904" s="40"/>
      <c r="BK904" s="5"/>
      <c r="BM904" s="40"/>
      <c r="BN904" s="5"/>
      <c r="BP904" s="40"/>
      <c r="BQ904" s="5"/>
      <c r="BS904" s="40"/>
      <c r="BT904" s="5"/>
      <c r="BV904" s="40"/>
      <c r="BW904" s="5"/>
      <c r="BY904" s="40"/>
      <c r="BZ904" s="5"/>
      <c r="CB904" s="40"/>
      <c r="CC904" s="5"/>
      <c r="CE904" s="40"/>
      <c r="CF904" s="5"/>
      <c r="CH904" s="40"/>
      <c r="CI904" s="5"/>
      <c r="CK904" s="40"/>
      <c r="CL904" s="5"/>
      <c r="CN904" s="40"/>
      <c r="CO904" s="5"/>
      <c r="CQ904" s="40"/>
      <c r="CR904" s="5"/>
    </row>
    <row r="905">
      <c r="AO905" s="40"/>
      <c r="AP905" s="5"/>
      <c r="AR905" s="40"/>
      <c r="AS905" s="5"/>
      <c r="AU905" s="40"/>
      <c r="AV905" s="5"/>
      <c r="AX905" s="40"/>
      <c r="AY905" s="5"/>
      <c r="BA905" s="40"/>
      <c r="BB905" s="5"/>
      <c r="BD905" s="40"/>
      <c r="BE905" s="5"/>
      <c r="BG905" s="40"/>
      <c r="BH905" s="5"/>
      <c r="BJ905" s="40"/>
      <c r="BK905" s="5"/>
      <c r="BM905" s="40"/>
      <c r="BN905" s="5"/>
      <c r="BP905" s="40"/>
      <c r="BQ905" s="5"/>
      <c r="BS905" s="40"/>
      <c r="BT905" s="5"/>
      <c r="BV905" s="40"/>
      <c r="BW905" s="5"/>
      <c r="BY905" s="40"/>
      <c r="BZ905" s="5"/>
      <c r="CB905" s="40"/>
      <c r="CC905" s="5"/>
      <c r="CE905" s="40"/>
      <c r="CF905" s="5"/>
      <c r="CH905" s="40"/>
      <c r="CI905" s="5"/>
      <c r="CK905" s="40"/>
      <c r="CL905" s="5"/>
      <c r="CN905" s="40"/>
      <c r="CO905" s="5"/>
      <c r="CQ905" s="40"/>
      <c r="CR905" s="5"/>
    </row>
    <row r="906">
      <c r="AO906" s="40"/>
      <c r="AP906" s="5"/>
      <c r="AR906" s="40"/>
      <c r="AS906" s="5"/>
      <c r="AU906" s="40"/>
      <c r="AV906" s="5"/>
      <c r="AX906" s="40"/>
      <c r="AY906" s="5"/>
      <c r="BA906" s="40"/>
      <c r="BB906" s="5"/>
      <c r="BD906" s="40"/>
      <c r="BE906" s="5"/>
      <c r="BG906" s="40"/>
      <c r="BH906" s="5"/>
      <c r="BJ906" s="40"/>
      <c r="BK906" s="5"/>
      <c r="BM906" s="40"/>
      <c r="BN906" s="5"/>
      <c r="BP906" s="40"/>
      <c r="BQ906" s="5"/>
      <c r="BS906" s="40"/>
      <c r="BT906" s="5"/>
      <c r="BV906" s="40"/>
      <c r="BW906" s="5"/>
      <c r="BY906" s="40"/>
      <c r="BZ906" s="5"/>
      <c r="CB906" s="40"/>
      <c r="CC906" s="5"/>
      <c r="CE906" s="40"/>
      <c r="CF906" s="5"/>
      <c r="CH906" s="40"/>
      <c r="CI906" s="5"/>
      <c r="CK906" s="40"/>
      <c r="CL906" s="5"/>
      <c r="CN906" s="40"/>
      <c r="CO906" s="5"/>
      <c r="CQ906" s="40"/>
      <c r="CR906" s="5"/>
    </row>
    <row r="907">
      <c r="AO907" s="40"/>
      <c r="AP907" s="5"/>
      <c r="AR907" s="40"/>
      <c r="AS907" s="5"/>
      <c r="AU907" s="40"/>
      <c r="AV907" s="5"/>
      <c r="AX907" s="40"/>
      <c r="AY907" s="5"/>
      <c r="BA907" s="40"/>
      <c r="BB907" s="5"/>
      <c r="BD907" s="40"/>
      <c r="BE907" s="5"/>
      <c r="BG907" s="40"/>
      <c r="BH907" s="5"/>
      <c r="BJ907" s="40"/>
      <c r="BK907" s="5"/>
      <c r="BM907" s="40"/>
      <c r="BN907" s="5"/>
      <c r="BP907" s="40"/>
      <c r="BQ907" s="5"/>
      <c r="BS907" s="40"/>
      <c r="BT907" s="5"/>
      <c r="BV907" s="40"/>
      <c r="BW907" s="5"/>
      <c r="BY907" s="40"/>
      <c r="BZ907" s="5"/>
      <c r="CB907" s="40"/>
      <c r="CC907" s="5"/>
      <c r="CE907" s="40"/>
      <c r="CF907" s="5"/>
      <c r="CH907" s="40"/>
      <c r="CI907" s="5"/>
      <c r="CK907" s="40"/>
      <c r="CL907" s="5"/>
      <c r="CN907" s="40"/>
      <c r="CO907" s="5"/>
      <c r="CQ907" s="40"/>
      <c r="CR907" s="5"/>
    </row>
    <row r="908">
      <c r="AO908" s="40"/>
      <c r="AP908" s="5"/>
      <c r="AR908" s="40"/>
      <c r="AS908" s="5"/>
      <c r="AU908" s="40"/>
      <c r="AV908" s="5"/>
      <c r="AX908" s="40"/>
      <c r="AY908" s="5"/>
      <c r="BA908" s="40"/>
      <c r="BB908" s="5"/>
      <c r="BD908" s="40"/>
      <c r="BE908" s="5"/>
      <c r="BG908" s="40"/>
      <c r="BH908" s="5"/>
      <c r="BJ908" s="40"/>
      <c r="BK908" s="5"/>
      <c r="BM908" s="40"/>
      <c r="BN908" s="5"/>
      <c r="BP908" s="40"/>
      <c r="BQ908" s="5"/>
      <c r="BS908" s="40"/>
      <c r="BT908" s="5"/>
      <c r="BV908" s="40"/>
      <c r="BW908" s="5"/>
      <c r="BY908" s="40"/>
      <c r="BZ908" s="5"/>
      <c r="CB908" s="40"/>
      <c r="CC908" s="5"/>
      <c r="CE908" s="40"/>
      <c r="CF908" s="5"/>
      <c r="CH908" s="40"/>
      <c r="CI908" s="5"/>
      <c r="CK908" s="40"/>
      <c r="CL908" s="5"/>
      <c r="CN908" s="40"/>
      <c r="CO908" s="5"/>
      <c r="CQ908" s="40"/>
      <c r="CR908" s="5"/>
    </row>
    <row r="909">
      <c r="AO909" s="40"/>
      <c r="AP909" s="5"/>
      <c r="AR909" s="40"/>
      <c r="AS909" s="5"/>
      <c r="AU909" s="40"/>
      <c r="AV909" s="5"/>
      <c r="AX909" s="40"/>
      <c r="AY909" s="5"/>
      <c r="BA909" s="40"/>
      <c r="BB909" s="5"/>
      <c r="BD909" s="40"/>
      <c r="BE909" s="5"/>
      <c r="BG909" s="40"/>
      <c r="BH909" s="5"/>
      <c r="BJ909" s="40"/>
      <c r="BK909" s="5"/>
      <c r="BM909" s="40"/>
      <c r="BN909" s="5"/>
      <c r="BP909" s="40"/>
      <c r="BQ909" s="5"/>
      <c r="BS909" s="40"/>
      <c r="BT909" s="5"/>
      <c r="BV909" s="40"/>
      <c r="BW909" s="5"/>
      <c r="BY909" s="40"/>
      <c r="BZ909" s="5"/>
      <c r="CB909" s="40"/>
      <c r="CC909" s="5"/>
      <c r="CE909" s="40"/>
      <c r="CF909" s="5"/>
      <c r="CH909" s="40"/>
      <c r="CI909" s="5"/>
      <c r="CK909" s="40"/>
      <c r="CL909" s="5"/>
      <c r="CN909" s="40"/>
      <c r="CO909" s="5"/>
      <c r="CQ909" s="40"/>
      <c r="CR909" s="5"/>
    </row>
    <row r="910">
      <c r="AO910" s="40"/>
      <c r="AP910" s="5"/>
      <c r="AR910" s="40"/>
      <c r="AS910" s="5"/>
      <c r="AU910" s="40"/>
      <c r="AV910" s="5"/>
      <c r="AX910" s="40"/>
      <c r="AY910" s="5"/>
      <c r="BA910" s="40"/>
      <c r="BB910" s="5"/>
      <c r="BD910" s="40"/>
      <c r="BE910" s="5"/>
      <c r="BG910" s="40"/>
      <c r="BH910" s="5"/>
      <c r="BJ910" s="40"/>
      <c r="BK910" s="5"/>
      <c r="BM910" s="40"/>
      <c r="BN910" s="5"/>
      <c r="BP910" s="40"/>
      <c r="BQ910" s="5"/>
      <c r="BS910" s="40"/>
      <c r="BT910" s="5"/>
      <c r="BV910" s="40"/>
      <c r="BW910" s="5"/>
      <c r="BY910" s="40"/>
      <c r="BZ910" s="5"/>
      <c r="CB910" s="40"/>
      <c r="CC910" s="5"/>
      <c r="CE910" s="40"/>
      <c r="CF910" s="5"/>
      <c r="CH910" s="40"/>
      <c r="CI910" s="5"/>
      <c r="CK910" s="40"/>
      <c r="CL910" s="5"/>
      <c r="CN910" s="40"/>
      <c r="CO910" s="5"/>
      <c r="CQ910" s="40"/>
      <c r="CR910" s="5"/>
    </row>
    <row r="911">
      <c r="AO911" s="40"/>
      <c r="AP911" s="5"/>
      <c r="AR911" s="40"/>
      <c r="AS911" s="5"/>
      <c r="AU911" s="40"/>
      <c r="AV911" s="5"/>
      <c r="AX911" s="40"/>
      <c r="AY911" s="5"/>
      <c r="BA911" s="40"/>
      <c r="BB911" s="5"/>
      <c r="BD911" s="40"/>
      <c r="BE911" s="5"/>
      <c r="BG911" s="40"/>
      <c r="BH911" s="5"/>
      <c r="BJ911" s="40"/>
      <c r="BK911" s="5"/>
      <c r="BM911" s="40"/>
      <c r="BN911" s="5"/>
      <c r="BP911" s="40"/>
      <c r="BQ911" s="5"/>
      <c r="BS911" s="40"/>
      <c r="BT911" s="5"/>
      <c r="BV911" s="40"/>
      <c r="BW911" s="5"/>
      <c r="BY911" s="40"/>
      <c r="BZ911" s="5"/>
      <c r="CB911" s="40"/>
      <c r="CC911" s="5"/>
      <c r="CE911" s="40"/>
      <c r="CF911" s="5"/>
      <c r="CH911" s="40"/>
      <c r="CI911" s="5"/>
      <c r="CK911" s="40"/>
      <c r="CL911" s="5"/>
      <c r="CN911" s="40"/>
      <c r="CO911" s="5"/>
      <c r="CQ911" s="40"/>
      <c r="CR911" s="5"/>
    </row>
    <row r="912">
      <c r="AO912" s="40"/>
      <c r="AP912" s="5"/>
      <c r="AR912" s="40"/>
      <c r="AS912" s="5"/>
      <c r="AU912" s="40"/>
      <c r="AV912" s="5"/>
      <c r="AX912" s="40"/>
      <c r="AY912" s="5"/>
      <c r="BA912" s="40"/>
      <c r="BB912" s="5"/>
      <c r="BD912" s="40"/>
      <c r="BE912" s="5"/>
      <c r="BG912" s="40"/>
      <c r="BH912" s="5"/>
      <c r="BJ912" s="40"/>
      <c r="BK912" s="5"/>
      <c r="BM912" s="40"/>
      <c r="BN912" s="5"/>
      <c r="BP912" s="40"/>
      <c r="BQ912" s="5"/>
      <c r="BS912" s="40"/>
      <c r="BT912" s="5"/>
      <c r="BV912" s="40"/>
      <c r="BW912" s="5"/>
      <c r="BY912" s="40"/>
      <c r="BZ912" s="5"/>
      <c r="CB912" s="40"/>
      <c r="CC912" s="5"/>
      <c r="CE912" s="40"/>
      <c r="CF912" s="5"/>
      <c r="CH912" s="40"/>
      <c r="CI912" s="5"/>
      <c r="CK912" s="40"/>
      <c r="CL912" s="5"/>
      <c r="CN912" s="40"/>
      <c r="CO912" s="5"/>
      <c r="CQ912" s="40"/>
      <c r="CR912"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hyperlinks>
    <hyperlink r:id="rId1" ref="B18"/>
  </hyperlinks>
  <drawing r:id="rId2"/>
</worksheet>
</file>