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for LaTeX)" sheetId="2" r:id="rId5"/>
    <sheet state="visible" name="Summary (micro)" sheetId="3" r:id="rId6"/>
    <sheet state="visible" name="#WALSUI-cluster-3-freeze-20" sheetId="4" r:id="rId7"/>
    <sheet state="visible" name="#WALSUI-cluster-3-freeze-20-fil" sheetId="5" r:id="rId8"/>
    <sheet state="visible" name="#WALSUI-volume-10-burst-0.7-gro" sheetId="6" r:id="rId9"/>
    <sheet state="visible" name="#TURITA-cluster-3-freeze-20" sheetId="7" r:id="rId10"/>
    <sheet state="visible" name="#TURITA-cluster-3-freeze-20-fil" sheetId="8" r:id="rId11"/>
    <sheet state="visible" name="#TURITA-volume-15-burst-0.6-gro" sheetId="9" r:id="rId12"/>
    <sheet state="visible" name="#SOUARS-cluster-3-freeze-20" sheetId="10" r:id="rId13"/>
    <sheet state="visible" name="#SOUARS-cluster-3-freeze-20-fil" sheetId="11" r:id="rId14"/>
    <sheet state="visible" name="#SOUARS-volume-15-burst-0.7-gro" sheetId="12" r:id="rId15"/>
    <sheet state="visible" name="#LEIMUN-cluster-10-freeze-5" sheetId="13" r:id="rId16"/>
    <sheet state="visible" name="#LEIMUN-cluster-10-freeze-5-fil" sheetId="14" r:id="rId17"/>
    <sheet state="visible" name="#LEIMUN-volume-30-burst-0.6-gro" sheetId="15" r:id="rId18"/>
    <sheet state="visible" name="#SCOCZE-cluster-3-freeze-20" sheetId="16" r:id="rId19"/>
    <sheet state="visible" name="#SCOCZE-cluster-3-freeze-20-fil" sheetId="17" r:id="rId20"/>
    <sheet state="visible" name="#SCOCZE-volume-15-burst-0.7-gro" sheetId="18" r:id="rId21"/>
    <sheet state="visible" name="#HUNFRA-cluster-5-freeze-20" sheetId="19" r:id="rId22"/>
    <sheet state="visible" name="#HUNFRA-cluster-5-freeze-20-fil" sheetId="20" r:id="rId23"/>
    <sheet state="visible" name="#HUNFRA-volume-15-burst-0.7-gro" sheetId="21" r:id="rId24"/>
    <sheet state="visible" name="#CopaDelRey-volume-2-burst-0.8-" sheetId="22" r:id="rId25"/>
    <sheet state="visible" name="#ParmaMilan-volume-3-burst-0.8-" sheetId="23" r:id="rId26"/>
    <sheet state="visible" name="#TropheeDesChampions-volume-3-b" sheetId="24" r:id="rId27"/>
  </sheets>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U-ELD's lowest precision is higher than ELD's highest precision</t>
      </text>
    </comment>
    <comment authorId="0" ref="L12">
      <text>
        <t xml:space="preserve">It is interesting how most algorithms suffer with halves, but why?</t>
      </text>
    </comment>
    <comment authorId="0" ref="M12">
      <text>
        <t xml:space="preserve">All algorithms suffer with substitutions. The filtered version must surely suffer because they are non-key topics. Furthermore, they are more likely to be ignored in biased scenarios.
In the new algorithm's case, as well as in the filtered version, there is also the matter of substitutions being participant-centric. Thus, they have many different lexical variations (bring on, take off, change, sub, substitute, replace and so on).</t>
      </text>
    </comment>
    <comment authorId="0" ref="O12">
      <text>
        <t xml:space="preserve">Excluding substitutions, ELD and F-ELD recall the same number of enumerable topics; F-ELD captures two more goals than ELD but misses two halves.</t>
      </text>
    </comment>
    <comment authorId="0" ref="E14">
      <text>
        <t xml:space="preserve">Underlined values use the Wilcoxon Signed-Rank test, which does not assume a normal distribution of differences.
Calculators:
- Wilcoxon Signed-Ranks: https://www.statskingdom.com/175wilcoxon_signed_ranks.html
- Wilcoxon Signed-Ranks (works even when the first doesn't): statziki.com/Wilcoxon
- Shapiro-Wilk: https://scistatcalc.blogspot.com/2013/10/shapiro-wilk-test-calculator.html</t>
      </text>
    </comment>
    <comment authorId="0" ref="X23">
      <text>
        <t xml:space="preserve">The filtered version of ELD and FUEGO both slash ELD's noise to a third. The noise levels are almost identical: the effects of filtering?</t>
      </text>
    </comment>
    <comment authorId="0" ref="E24">
      <text>
        <t xml:space="preserve">The filtered version has a higher precision than the base version, but at a significant expense to recall.
The new algorithm finds a balance between precision (which is practically as high as the filtered version) and recall, which takes only a minimal hit when compared to ELD.</t>
      </text>
    </comment>
    <comment authorId="0" ref="I24">
      <text>
        <t xml:space="preserve">The filtered version is very good at extracting goals and yellow cards, even when compared to the original version, but much worse at extracting the halves and substitutions.</t>
      </text>
    </comment>
    <comment authorId="0" ref="E25">
      <text>
        <t xml:space="preserve">Keep in mind that the new algorithm was always going to struggle more with improving recall. ELD's failures in recall are mostly due to behavior, not technical faults.</t>
      </text>
    </comment>
    <comment authorId="0" ref="E38">
      <text>
        <t xml:space="preserve">Even though the new algorithm performs slightly worse than the filtered version if we focus only on goals and disciplines, it contributes other things: descriptiveness, a more efficient technique and, more importantly, sensitivity.</t>
      </text>
    </comment>
    <comment authorId="0" ref="I38">
      <text>
        <t xml:space="preserve">The new algorithm captures fewer yellow cards, but more halves and substitutions than the filtered version.
There is probably nothing stopping the new algorithm from achieving the same recall (of goals and discipline) as the filtered version as long as we are okay with raising precision and sacrificing non-key topics.</t>
      </text>
    </comment>
    <comment authorId="0" ref="O41">
      <text>
        <t xml:space="preserve">58/104 = 55.77% topics recalled
36/57 = 63.16% topics recalled (no subs)
34/51 = 66.67% topics recalled (no subs and no starts to halves)</t>
      </text>
    </comment>
    <comment authorId="0" ref="J51">
      <text>
        <t xml:space="preserve">The filtered version captured, on average, 15 fewer topics than ELD, but only 4 fewer precise topics.
FUEGO captured 4 fewer topics than ELD, but around 4 more precise topics.</t>
      </text>
    </comment>
    <comment authorId="0" ref="I64">
      <text>
        <t xml:space="preserve">The weighted average assigns a different weight based on the size of the event, in this case.
The micro-average considers all samples from all events at once.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C22">
      <text>
        <t xml:space="preserve">At this point, the F-score is comparable to ELD's at 25,000 tweets, or datasets with almost 20 times more data</t>
      </text>
    </comment>
  </commentList>
</comments>
</file>

<file path=xl/sharedStrings.xml><?xml version="1.0" encoding="utf-8"?>
<sst xmlns="http://schemas.openxmlformats.org/spreadsheetml/2006/main" count="3843" uniqueCount="1523">
  <si>
    <t># ground truth topics</t>
  </si>
  <si>
    <t># topics</t>
  </si>
  <si>
    <t>ELD</t>
  </si>
  <si>
    <t>ELD-Filtered</t>
  </si>
  <si>
    <t>SEER</t>
  </si>
  <si>
    <t>Configurations</t>
  </si>
  <si>
    <t>Discipline</t>
  </si>
  <si>
    <t>Half</t>
  </si>
  <si>
    <t>Substitution</t>
  </si>
  <si>
    <t>Recall</t>
  </si>
  <si>
    <t>No substitutions</t>
  </si>
  <si>
    <t>No halves</t>
  </si>
  <si>
    <t>Goals and discipline</t>
  </si>
  <si>
    <t>Total</t>
  </si>
  <si>
    <t>Noise</t>
  </si>
  <si>
    <t>Opinion</t>
  </si>
  <si>
    <t>Topic</t>
  </si>
  <si>
    <t>Valid</t>
  </si>
  <si>
    <t>Precision</t>
  </si>
  <si>
    <t>#WALSUI</t>
  </si>
  <si>
    <t>#WALSUI-cluster-3-freeze-20</t>
  </si>
  <si>
    <t>#WALSUI-cluster-3-freeze-20-filtered</t>
  </si>
  <si>
    <t>#WALSUI-volume-10-burst-0.7-grouped</t>
  </si>
  <si>
    <t>#TURITA</t>
  </si>
  <si>
    <t>#TURITA-cluster-3-freeze-20</t>
  </si>
  <si>
    <t>#TURITA-cluster-3-freeze-20-filtered</t>
  </si>
  <si>
    <t>#TURITA-volume-15-burst-0.6-grouped</t>
  </si>
  <si>
    <t>#SOUARS</t>
  </si>
  <si>
    <t>#SOUARS-cluster-3-freeze-20</t>
  </si>
  <si>
    <t>#SOUARS-cluster-3-freeze-20-filtered</t>
  </si>
  <si>
    <t>#SOUARS-volume-15-burst-0.7-grouped</t>
  </si>
  <si>
    <t>#LEIMUN</t>
  </si>
  <si>
    <t>#LEIMUN-cluster-10-freeze-5</t>
  </si>
  <si>
    <t>#LEIMUN-cluster-10-freeze-5-filtered</t>
  </si>
  <si>
    <t>#LEIMUN-volume-30-burst-0.6-grouped</t>
  </si>
  <si>
    <t>#SCOCZE</t>
  </si>
  <si>
    <t>#SCOCZE-cluster-3-freeze-20</t>
  </si>
  <si>
    <t>#SCOCZE-cluster-3-freeze-20-filtered</t>
  </si>
  <si>
    <t>#SCOCZE-volume-15-burst-0.7-grouped</t>
  </si>
  <si>
    <t>#HUNFRA</t>
  </si>
  <si>
    <t>NOTE</t>
  </si>
  <si>
    <t>#HUNFRA-cluster-5-freeze-20</t>
  </si>
  <si>
    <t>#HUNFRA-cluster-5-freeze-20-filtered</t>
  </si>
  <si>
    <t>#HUNFRA-volume-15-burst-0.7-grouped</t>
  </si>
  <si>
    <t>Macro-average</t>
  </si>
  <si>
    <t>Micro-average</t>
  </si>
  <si>
    <t>Avg. diff (macro)</t>
  </si>
  <si>
    <t>Precision (with redundancy)</t>
  </si>
  <si>
    <t>Avg. diff (micro)</t>
  </si>
  <si>
    <t>1-tailed t-test</t>
  </si>
  <si>
    <t>NOTE ON TESTS</t>
  </si>
  <si>
    <t>Stdev</t>
  </si>
  <si>
    <t>Normal (diff)</t>
  </si>
  <si>
    <t>Normal</t>
  </si>
  <si>
    <t>F1</t>
  </si>
  <si>
    <t>NA</t>
  </si>
  <si>
    <t>Topics</t>
  </si>
  <si>
    <t>Precise Topics</t>
  </si>
  <si>
    <t>Change (%)</t>
  </si>
  <si>
    <t>Test</t>
  </si>
  <si>
    <t>Class</t>
  </si>
  <si>
    <t>TP</t>
  </si>
  <si>
    <t>FP</t>
  </si>
  <si>
    <t>FN</t>
  </si>
  <si>
    <t>Samples</t>
  </si>
  <si>
    <t>A</t>
  </si>
  <si>
    <t>B</t>
  </si>
  <si>
    <t>C</t>
  </si>
  <si>
    <t>Weighted</t>
  </si>
  <si>
    <t>Micro</t>
  </si>
  <si>
    <t>Dataset</t>
  </si>
  <si>
    <t>Algorithm</t>
  </si>
  <si>
    <t>Precise</t>
  </si>
  <si>
    <t>Topics (precise)</t>
  </si>
  <si>
    <t>F-score</t>
  </si>
  <si>
    <t>Redundant</t>
  </si>
  <si>
    <t>Goals</t>
  </si>
  <si>
    <t>Cards</t>
  </si>
  <si>
    <t>Halves</t>
  </si>
  <si>
    <t>Substitutions</t>
  </si>
  <si>
    <t>#TropheeDesChampions</t>
  </si>
  <si>
    <t>#CopaDelRey</t>
  </si>
  <si>
    <t>#ParmaMilan</t>
  </si>
  <si>
    <t>Tweets</t>
  </si>
  <si>
    <t>#CopaDelRey-volume-2-burst-0.8-grouped</t>
  </si>
  <si>
    <t>#ParmaMilan-volume-3-burst-0.8-grouped</t>
  </si>
  <si>
    <t>#TropheeDesChampions-volume-3-burst-0.8-grouped</t>
  </si>
  <si>
    <t>Legend</t>
  </si>
  <si>
    <t>Back to summary</t>
  </si>
  <si>
    <t>Count</t>
  </si>
  <si>
    <t>%</t>
  </si>
  <si>
    <t>Timestamp</t>
  </si>
  <si>
    <t>Date</t>
  </si>
  <si>
    <t>Query</t>
  </si>
  <si>
    <t>Summary</t>
  </si>
  <si>
    <t>Type</t>
  </si>
  <si>
    <t>Already reported, no new information</t>
  </si>
  <si>
    <t>[["masterclass", 0.7071067811865475], ["littl", 0.7071067811865475]]</t>
  </si>
  <si>
    <t>Bale masterclass? About to witness a Ramsey masterclass. Granit Xhaka masterclass incoming!!! 🔥🔥🔥. No little car delivering the ball? Might switch off #WALSUI. I miss the little 🚗 #WALSUI EURO 2020. #WALSUI taking the knee like good little. Where was the little car? EURO 2020.</t>
  </si>
  <si>
    <t>Unrelated to the event or illegible</t>
  </si>
  <si>
    <t>[["soni", 0.718550745096038], ["ten", 0.6954745334819447]]</t>
  </si>
  <si>
    <t>Will be interesting to see who is gonna stopped bale. Euro On Sony Ten. So Sony LIV has screwed up, can't watch Wales v Switzerland. If you have Jio TV, the Sony Ten 2 HD stream is available there. EURO 2020.</t>
  </si>
  <si>
    <t>Subjective content</t>
  </si>
  <si>
    <t>[["sommer", 0.464881550476438], ["cross", 0.38591935207462486], ["header", 0.38591935207462486], ["keeper", 0.38591935207462486], ["unlucki", 0.38591935207462486], ["yann", 0.32782282874190066], ["save", 0.2840463901539473]]</t>
  </si>
  <si>
    <t>Great header by Moore, great save by the keeper. Very unlucky there. Yann Sommer is the most underrated keeper in the sport. Some save from Sommer too, amazed he's only 32 all the same. Yann having an excellent start to his Sommer this tournament 🤣🤣🤣🤣.</t>
  </si>
  <si>
    <t>Key or non-key topic (enumerable)</t>
  </si>
  <si>
    <t>[["seferov", 1.0]]</t>
  </si>
  <si>
    <t>Seferovic close! Thought that was in from seferovic. Seferovic HAS to do better there man. I thought that Seferovic’s shot was going in.🥺😯. Trying Seferovic. So close from seferovic. Seferovic will score if Wales don't get serious. Seferovic looking sharp.</t>
  </si>
  <si>
    <t>Newsworthy (non-enumerable)</t>
  </si>
  <si>
    <t>[["jame", 0.6726414810711769], ["daniel", 0.5464270426167691], ["dan", 0.49896986385899605]]</t>
  </si>
  <si>
    <t>Lmao. Daniel James only knows one thing. Run x 1000 😂. Dan James bossing it for #WAL. You love to see it.. Is Daniel James this good ?😬. #Wal need to get the ball to Dan James more EURO 2020. Daniel James with an exquisite run there...! ⚡Love it!! #WAL. EURO 2020.</t>
  </si>
  <si>
    <t>[["cynic", 0.7277194126673154], ["foul", 0.685874956845005]]</t>
  </si>
  <si>
    <t>It's always good to start the day by seeing a brutally cynical foul. #WALSUI. What a foul😔 #WAL #WALSUI. Robbie Savage who made a career out of a cynical foul complains about “a cynical foul” bit of Saturday irony for you right there #WALSUI.</t>
  </si>
  <si>
    <t>[["ben", 0.7538689932296285], ["davi", 0.657024764409186]]</t>
  </si>
  <si>
    <t>@KopiteMay Ben Davies has been superb... shame it’s not r Ben Davies😂. Ben davies has been excellent so far. Wait, is that our Ben Davies? That Ben Davies is doing quite well 😉. I ain't even notice Ben Davies playing yc.</t>
  </si>
  <si>
    <t>[["mbabu", 1.0]]</t>
  </si>
  <si>
    <t>MBABU GET THE FUCK UP. Mbabu’s not like this on ultimate team EURO 2020. Mbabu nice with it. Mbabu would be a perfect signing for us.</t>
  </si>
  <si>
    <t>[["pen", 0.6540254922934176], ["penalti", 0.39207704073279204], ["embolo", 0.2890918900557825], ["shouldv", 0.21800849743113918], ["worst", 0.21800849743113918], ["donkey", 0.21800849743113918], ["shite", 0.21800849743113918], ["foul", 0.21800849743113918], ["goe", 0.18770858987095992], ["var", 0.18040323829898475], ["feet", 0.12459991054956523], ["stay", 0.11835802927797293]]</t>
  </si>
  <si>
    <t>Mepham’s being fouled there but you can’t just foul back and hope. Embolo shouldve gotten a retrospective penalty there after seferovic missed. Embolo goes down there it’s a pen. Robbed because he’s stayed on his feet and played the pass.</t>
  </si>
  <si>
    <t>[["bore", 0.7071067811865476], ["chanc", 0.5697117594240808], ["miss", 0.4188418689361395]]</t>
  </si>
  <si>
    <t>Another summer of watching Seferovic miss chance after chance is it? Seferovic has missed 2 big chances now so it’s not my fault if my prediction isn’t right now. Idk if this is just me but this Euro is boring 😴 😞 EURO 2020. Man this #SUIWAL game is boring...</t>
  </si>
  <si>
    <t>Gold</t>
  </si>
  <si>
    <r>
      <rPr>
        <u/>
      </rPr>
      <t>The Guardian</t>
    </r>
    <r>
      <rPr>
        <u/>
      </rPr>
      <t xml:space="preserve">, </t>
    </r>
    <r>
      <rPr>
        <u/>
      </rPr>
      <t>BeSoccer</t>
    </r>
    <r>
      <rPr>
        <u/>
      </rPr>
      <t xml:space="preserve">, </t>
    </r>
    <r>
      <rPr>
        <u/>
      </rPr>
      <t>LiveScore</t>
    </r>
    <r>
      <rPr>
        <u/>
      </rPr>
      <t xml:space="preserve">, </t>
    </r>
    <r>
      <rPr>
        <u/>
      </rPr>
      <t>BBC</t>
    </r>
  </si>
  <si>
    <t>[["save", 0.6155109283518454], ["embolo", 0.6046866684072533], ["yellow", 0.3574215509241057], ["danni", 0.2802062056829729], ["ward", 0.22188881756804368]]</t>
  </si>
  <si>
    <t>If that’s a yellow for Moore, there are going to be 12 bookings a game during this tournament #bbcfootball. What a turn from embolo and what a save from ward. Embolo playing really good for the swiss well deserved goal. Embolo is having a the time of his life today.</t>
  </si>
  <si>
    <t>Topic type</t>
  </si>
  <si>
    <t>[["deserv", 0.45183260169854117], ["fuck", 0.45183260169854117], ["mode", 0.3247839138942553], ["career", 0.2434192903743183], ["breel", 0.22591630084927058], ["corner", 0.22591630084927058], ["tbf", 0.22591630084927058], ["header", 0.22591630084927058], ["assist", 0.22591630084927058], ["bulli", 0.22591630084927058], ["connor", 0.1858836484254538], ["poor", 0.16238081324120435], ["defend", 0.15706892270765482], ["fifa", 0.13657107497014861], ["robert", 0.12839565505678308]]</t>
  </si>
  <si>
    <t>Oh fuck off embolo they deserve it we’ve been fucking shit. What a run to make the corner and a lovely header, fantastic. Embolo has been bullying the welsh defenders all game and deserves that goal. Embolo showing why he was a wonderkid on career mode on fifa 16.</t>
  </si>
  <si>
    <t>Goal</t>
  </si>
  <si>
    <t>Goal, own-goal, cancelled goal</t>
  </si>
  <si>
    <t>[["mbabu", 0.35355339059327373], ["immens", 0.35355339059327373], ["bulli", 0.35355339059327373], ["lmao", 0.35355339059327373], ["prime", 0.35355339059327373], ["aw", 0.31180269469156124], ["defenc", 0.2775258738492251], ["half", 0.26137486995107323], ["second", 0.23808229114753482], ["welsh", 0.21904198078045212], ["mepham", 0.16667057203682067]]</t>
  </si>
  <si>
    <t>Kevin mbabu in my fantasy team so of course he misses that. Mepham is fucking awful get that cunt off the pitch! Mbabu has been watching my finishing by the looks of it. Embolo has turned into prime lukaku in this 2nd half. Embolo is bullying this Wales defence at the moment 😭.</t>
  </si>
  <si>
    <t>Yellow or red card</t>
  </si>
  <si>
    <t>[["move", 0.5773502691896257], ["problem", 0.4285465418387519], ["mode", 0.4038056517859122], ["caus", 0.38688653997183753], ["career", 0.3010385885200685], ["fifa", 0.2822234879327603]]</t>
  </si>
  <si>
    <t>Few players gunna get big moves after this tournament, can see Embolo getting a move. Embolo playing for a move. Best Swiss player so far. Embolo is finally living up to his FIFA 16 career mode potential 🤣. The power and pace of Embolo is causing Wales serious problems.</t>
  </si>
  <si>
    <t>The start and end of each half</t>
  </si>
  <si>
    <t>[["seferov", 0.5773502691896257], ["daniel", 0.48614785981060543], ["chri", 0.46174873872653627], ["mepham", 0.34658539440920816], ["jame", 0.31143794202842595]]</t>
  </si>
  <si>
    <t>Fuck off chris mepham. Chris Mepham is not having a great time of it #WALSUI. Seferovic isn't a footballer. That Chris Mepham’s never played or watched a game of football in his life. Shite. Daniel James has been good today as well. Daniel James is actually wales best player 😭.</t>
  </si>
  <si>
    <t>[["come", 0.5773502691896257], ["injur", 0.5773502691896257], ["dan", 0.41703439503909695], ["jame", 0.39926889020772427]]</t>
  </si>
  <si>
    <t>Come ooonnnn Wales EURO 2020. Come and sign him. Embolo injured now i want to die. Gareth Bale.. where are you? Dan James is out here doing more. Its just dan james and hope!!!! EURO 2020. Dan James is playing better than Bale in this game. Go James Go Bale Go Wales!!!</t>
  </si>
  <si>
    <t>[["mbabu", 0.846903910595824], ["tackl", 0.3662471604251016], ["corner", 0.2239917446703242], ["yellow", 0.17884537355500973], ["wilson", 0.16091876729925433], ["harri", 0.12250592192068574], ["neco", 0.09627954666338535], ["ref", 0.09575237644636965], ["superb", 0.08436821143049349]]</t>
  </si>
  <si>
    <t>Mbabu couldn’t of made much more of a better tackle🙈. What a tackle that was by mbabu shite performance from ref. Mbabu booked for tackling and winning the ball. Game's gone. Mbabu with the best tackle of the game and it gets given as a yellow.</t>
  </si>
  <si>
    <t>Detail</t>
  </si>
  <si>
    <t>Time</t>
  </si>
  <si>
    <t>Captured</t>
  </si>
  <si>
    <t>[["zakaria", 0.9533719083942997], ["deni", 0.3017979527508612]]</t>
  </si>
  <si>
    <t>Get Zakaria on, so we can close up the game. Denis Zakaria is on. Should have started this game to begin with. Dennis Zakaria comes on for Switzerland.. That's my son's name too Zakaria 😍👌. Zakaria is not a good player and Zakaria got Shaqiri is not a good change.</t>
  </si>
  <si>
    <t>Game start</t>
  </si>
  <si>
    <t>[["head", 0.39722436376438697], ["deserv", 0.39722436376438697], ["kieffer", 0.31095732251958347], ["corner", 0.30101052304488424], ["finish", 0.19861218188219348], ["fuck", 0.19861218188219348], ["header", 0.19861218188219348], ["kiefer", 0.19861218188219348], ["level", 0.19861218188219348], ["keiffer", 0.19861218188219348], ["that", 0.19861218188219348], ["brook", 0.19861218188219348], ["tie", 0.19861218188219348], ["piec", 0.16440620653509658], ["short", 0.14481495809941955], ["wal", 0.14163455995522253], ["score", 0.1392352333940515], ["big", 0.12093439089848323], ["set", 0.11143337940107839], ["work", 0.11042351001848756], ["lad", 0.1004756774818039], ["dog", 0.07296450656338277]]</t>
  </si>
  <si>
    <t>1-1. Wales level. Moore heads home from a short taken corner. Great header from moore there! catching switzerland out on a set piece. Kieffer Moore has been Wales best player by country mile and deserves his goal. Moore with a fantastic header to level the game! 1-1..</t>
  </si>
  <si>
    <t>Schär</t>
  </si>
  <si>
    <t>[["jame", 0.394916179804825], ["dan", 0.3628864699226613], ["take", 0.21122356946045556], ["nice", 0.2079722437763101], ["keifer", 0.2079722437763101], ["piss", 0.2079722437763101], ["wtf", 0.2079722437763101], ["angri", 0.2079722437763101], ["equalis", 0.2079722437763101], ["crack", 0.2079722437763101], ["embolo", 0.2079722437763101], ["taken", 0.2079722437763101], ["superb", 0.2079722437763101], ["equal", 0.2079722437763101], ["let", 0.2079722437763101], ["daniel", 0.17832884046798997], ["assist", 0.15180356801975706], ["david", 0.14932435397460858], ["brook", 0.14475735384227897], ["morrel", 0.1421553056267122], ["best", 0.0969387493679512], ["stupid", 0.09589077739377422], ["bad", 0.08795267246021908], ["player", 0.06384242936416124]]</t>
  </si>
  <si>
    <t>David Brooks on, disappointed he didn’t start but James did well tbf. Joe Morrell with the assist - the one we let away. Daniel James has been Wales' best player tonight and what does their manager do? He takes him off. 🤦‍♂️.</t>
  </si>
  <si>
    <t>Half-time</t>
  </si>
  <si>
    <t>[["headband", 0.37796447300922725], ["piss", 0.37796447300922725], ["sub", 0.37796447300922725], ["tbf", 0.37796447300922725], ["zakaria", 0.37796447300922725], ["savag", 0.29732474343708315], ["ben", 0.28598322649900615], ["davi", 0.2471249421211081], ["robbi", 0.23335625082096162]]</t>
  </si>
  <si>
    <t>I recently got a promotion and wore a headband for my interview, power of the headband #WALSUI EURO 2020. Daniel James pissed off about being subbed off actually love him 😂😂. Zakaria is so good ffs @manutd are you watching. Ben davies can’t cross for the life of him.</t>
  </si>
  <si>
    <t>Second half</t>
  </si>
  <si>
    <t>[["gareth", 0.5748831635004388], ["ben", 0.534980017030748], ["davi", 0.4623812078553586], ["bale", 0.41171513006413535]]</t>
  </si>
  <si>
    <t>🏴󠁧󠁢󠁷󠁬󠁳󠁿 Gareth Bale has scored for Wales in his last two matches against Switzerland.... EURO 2020. Ben Davies is pure shite, Paratici - do your thing! Bale and Ben Davies have been shocking. Says alot 🐓👀. Ben Davies is still doing what Ben Davies does 😬.</t>
  </si>
  <si>
    <t>Moore</t>
  </si>
  <si>
    <t>[["close", 0.5773502691896257], ["throw", 0.5075261076916818], ["ben", 0.4386932680743805], ["davi", 0.37534191063556044], ["long", 0.27522823863961476]]</t>
  </si>
  <si>
    <t>Is this a gareth bale long throw 😭😭. Did they just long throw to Joe Allen. Oooooh ramsey so close 😂. Ben Davies - What a player though 🔥🔥🔥. How Ben Davies made it to be a international footballer I do not know. Ben Davies isn’t very good at anything. Ben Davies is so crap.</t>
  </si>
  <si>
    <t>Embolo</t>
  </si>
  <si>
    <t>[["gavranov", 0.49229985213623706], ["offsid", 0.45997149040904256], ["sub", 0.2793019573348434], ["fuck", 0.2793019573348434], ["seferov", 0.2793019573348434], ["var", 0.2793019573348434], ["miss", 0.24016858404171967], ["level", 0.23808265710900076], ["savag", 0.19852829691677548], ["robbi", 0.19645889823166404], ["header", 0.14603503605297144], ["ramsey", 0.14257852085945533]]</t>
  </si>
  <si>
    <t>And he scores with his first touch! I think he’s offside though. Robbie Savage trying to remain calm in the commentary box #wal. This Gavranovic is absolutely fucking shit doesn’t know the fucking offside rule. Gavranovic has been on for 7 minutes and been offside 3 times..</t>
  </si>
  <si>
    <t>Mbabu</t>
  </si>
  <si>
    <t>[["bale", 0.6444845085442471], ["clearli", 0.4011949434853973], ["embolo", 0.4011949434853973], ["disallow", 0.4011949434853973], ["gareth", 0.26561166712543827], ["bring", 0.1766861978157101]]</t>
  </si>
  <si>
    <t>Switzerland have the ball in the back of the net late on but it's disallowed for offside, the score remains levels. 🏴󠁧󠁢󠁷󠁬󠁳󠁿 1- 1 🇨🇭. EURO 2020. Nice Swiss move but clearly offside. Wales fans go potty. #WAL. Embolo is one to watch out for in this tournament👍⚒️.</t>
  </si>
  <si>
    <t>Zakaria for Shaqiri</t>
  </si>
  <si>
    <t>[["save", 0.7071067811865475], ["zakaria", 0.35355339059327373], ["danni", 0.27006404949305163], ["commit", 0.2658537739861972], ["allen", 0.23613476066753092], ["foul", 0.23307031311880103], ["ward", 0.2281784590433868], ["mark", 0.1935815272525171], ["joe", 0.17823177918393474]]</t>
  </si>
  <si>
    <t>What a save! Wales can’t defend set pieces well at all. Embolo been fantastic in this game. @markgoldbridge Mark it was embolo that did that not zakaria 😂. Wales are very very lucky, what a save from Danny ward at the the end, I don't think that was offside.</t>
  </si>
  <si>
    <t>[["offsid", 0.5314082578401236], ["outstand", 0.29331334253708313], ["wow", 0.29331334253708313], ["ampadu", 0.29331334253708313], ["brilliant", 0.29331334253708313], ["class", 0.29331334253708313], ["motm", 0.29331334253708313], ["blinder", 0.2368357094277971], ["robbi", 0.20787832705598994], ["savag", 0.20692829204987687], ["fair", 0.17303630731759242], ["save", 0.17129952777843327]]</t>
  </si>
  <si>
    <t>Danny Ward is outstanding, sign Jim up someone he's too good to be a bench player. Offside but Danny Ward, that’s a worldie of a save. Calling it now Ethan Ampadu to score a last minute goal. If fifa do motm that Danny ward card will be 🔥🔥🔥🔥.</t>
  </si>
  <si>
    <t>Brooks for James</t>
  </si>
  <si>
    <t>[["breel", 0.457067458630475], ["target", 0.44767197022527017], ["gavranov", 0.42080899277890066], ["offsid", 0.39528866025948745], ["shot", 0.3645862592144116], ["baller", 0.2536606963150817], ["embolo", 0.24511002170323495]]</t>
  </si>
  <si>
    <t>@SkyBetHelp. Come on , that Bale shot was on Target ! @TheGoonerTalkTv It makes sense now, Gavranovic doesn’t understand the offside rule. Gavranovic is the best offsides player I've seen since Pippo 💀. Breel Embolo and the goalkeepers have been on form in this game.</t>
  </si>
  <si>
    <t>Gavranovic for Seferovic</t>
  </si>
  <si>
    <t>[["draw", 0.5], ["man", 0.5], ["take", 0.5], ["result", 0.5]]</t>
  </si>
  <si>
    <t>I’ll take the draw #wal EURO 2020. Ward has to be Man of the Match right?. #WAL #SUI. That Man Moore! Wales Score! I'm LIVE. A point for #wales. They will take that EURO 2020. Will take that draw against Switzerland. 😊❤. 👏🏿👏🏿. #WAL. Great result for Wales. Euros 2021 EURO 2020.</t>
  </si>
  <si>
    <t>Gavranovic (cancelled)</t>
  </si>
  <si>
    <t>Ampadu for Ramsey</t>
  </si>
  <si>
    <t>Full-time</t>
  </si>
  <si>
    <t>[["cross", 0.7071067811865475], ["keeper", 0.7071067811865475]]</t>
  </si>
  <si>
    <t>Dan James with a peach of a cross #WALSUI. Amazing save by the Swiss keeper! #WALSUI. Good cross from Daniel James. What a cross from Dan James and Moore nearly scoring with his head!!! Wales 🏴󠁧󠁢󠁷󠁬󠁳󠁿 coming closes so far. Great cross there by James and unlucky by Moore FA WALES.</t>
  </si>
  <si>
    <t>[["pen", 0.6339110433001993], ["goe", 0.4425572622169886], ["seferov", 0.3722586718396491], ["worst", 0.30056751073140014], ["penalti", 0.2987747353011711], ["feet", 0.14197873037306624], ["stay", 0.1361114562715002], ["seen", 0.1296238587854402], ["ever", 0.12330686960180373], ["striker", 0.11586609450379051]]</t>
  </si>
  <si>
    <t>Embolo could have gotten a penalty had he gone down. Say it every tournament but Seferovic is the worst player in international football. Embolo goes down there it’s a pen. Robbed because he’s stayed on his feet and played the pass. It would have been a penalty and possibly a red.</t>
  </si>
  <si>
    <t>[["var", 0.8342973113318425], ["pull", 0.5513147887590708]]</t>
  </si>
  <si>
    <t>That much pull on Embolo's shirt deserved at least a check by #var... #WALSUI. How can that level of shirt pulling be watched by VAR and be allowed? #WALSUI. Is there no VAR in the euros? 😂😂#Euros #WALSUI. Why hasn’t VAR intervened there with the shirt pull? EURO 2020 #WALSUI.</t>
  </si>
  <si>
    <t>[["save", 0.7135766158483889], ["embolo", 0.5558056967764038], ["yellow", 0.32341362186410727], ["danni", 0.21096504647575498], ["ward", 0.18106854807911812]]</t>
  </si>
  <si>
    <t>If that’s a yellow for Moore, there are going to be 12 bookings a game during this tournament #bbcfootball. What a turn from embolo and what a save from ward. Unreal save from Danny ward and then concede, fuck off man. Embolo been best player on the pitch 👏🏻👏🏻rodon been good👀.</t>
  </si>
  <si>
    <t>[["corner", 0.6462455019698046], ["header", 0.3828342465564132], ["deserv", 0.3411546146803812], ["poor", 0.3327296193283938], ["defend", 0.3093419642688373], ["lead", 0.24462091100252223], ["embolo", 0.23060220986329483]]</t>
  </si>
  <si>
    <t>And then scoring from the corner too, written in the stars. Deserved for Embolo after that fantastic play to win the corner. Poor defensively from wales there but a good header by embolo! switzerland get the lead they deserve.</t>
  </si>
  <si>
    <t>[["half", 0.6808406684745367], ["assist", 0.41618547802302697], ["2nd", 0.4109256038831532], ["second", 0.33209424134199106], ["shaqiri", 0.2899986120219261]]</t>
  </si>
  <si>
    <t>Embolo taking this match over to start the 2nd half. Breel Embolo has come into this second half like a man on a mission.. He’s really up for this.. Euro 2020. Embolo put on a hunter for the second half #SUI. And that's the lead for Switzerland vs Wales. Shaqiri with an assist 🧐.</t>
  </si>
  <si>
    <t>[["ff", 1.0]]</t>
  </si>
  <si>
    <t>Bale needs to turn it on ffs. Bale your team needs you! 🗣. #wal need to wake up ffs. FFS. Bring Bale on. #WALSUI. Just give the ball to Bale ffs.</t>
  </si>
  <si>
    <t>[["mbabu", 0.7334359931697533], ["tackl", 0.5030784257786125], ["corner", 0.29634612242426306], ["yellow", 0.24048241285704644], ["book", 0.1793407371123884], ["ref", 0.13242665603261308], ["superb", 0.11675190385502374]]</t>
  </si>
  <si>
    <t>Mbabu couldn’t of made much more of a better tackle🙈. Mbabu booked for tackling and winning the ball. Game's gone. This ref is insane for booking Mbabu for a wonderful tackle. Mbabu with the best tackle of the game and it gets given as a yellow.</t>
  </si>
  <si>
    <t>[["zakaria", 1.0]]</t>
  </si>
  <si>
    <t>Zakaria finally coming on. Zakaria ball for 25mins😍😍. Time to watch zakaria ball out🤩🤩🤩🤩. Very excited to see zakaria and i like the sub. Zakaria for Freuler would have been my sub #SUI.</t>
  </si>
  <si>
    <t>[["corner", 0.43926615912298606], ["header", 0.2971862801649998], ["nice", 0.2971862801649998], ["deserv", 0.2971862801649998], ["dan", 0.29031337484040576], ["take", 0.28189598031734087], ["jame", 0.2462524357469126], ["piec", 0.2407208571801856], ["short", 0.22536910085238193], ["morrel", 0.22312489403853025], ["assist", 0.19630325208361785], ["set", 0.1742789546581757], ["work", 0.16741581619669285], ["stupid", 0.14242965369049773], ["best", 0.13799359643820658], ["bad", 0.12933385078190196], ["player", 0.07864085082173078]]</t>
  </si>
  <si>
    <t>Wales play a corner short, Morrell clips in a lovely cross and the magnificent Adonis himself flicks a header into the bottom far corner. Wales coach is stupid. Daniel James has been their best player and they take him off. Joe Morrell with the assist - the one we let away.</t>
  </si>
  <si>
    <r>
      <rPr>
        <u/>
      </rPr>
      <t>The Guardian</t>
    </r>
    <r>
      <rPr>
        <u/>
      </rPr>
      <t xml:space="preserve">, </t>
    </r>
    <r>
      <rPr>
        <u/>
      </rPr>
      <t>BeSoccer</t>
    </r>
    <r>
      <rPr>
        <u/>
      </rPr>
      <t xml:space="preserve">, </t>
    </r>
    <r>
      <rPr>
        <u/>
      </rPr>
      <t>LiveScore</t>
    </r>
    <r>
      <rPr>
        <u/>
      </rPr>
      <t xml:space="preserve">, </t>
    </r>
    <r>
      <rPr>
        <u/>
      </rPr>
      <t>BBC</t>
    </r>
  </si>
  <si>
    <t>[["embolo", 0.5901295220506698], ["daniel", 0.4835677167177406], ["brook", 0.34582359794851913], ["taken", 0.29474264441988757], ["sub", 0.28197233718215287], ["breel", 0.24476228538452002], ["take", 0.1982536594212118], ["best", 0.1808887350235794]]</t>
  </si>
  <si>
    <t>Euro 2020: Breel Embolo opens the scoring for Switzerland against Wales with header. Why tf have Wales just taken off Daniel James, he’s been their best player! Daniel imagine not subbing off bale who has been shite.</t>
  </si>
  <si>
    <t>[["ben", 0.615162050854105], ["shoot", 0.5804390052818686], ["davi", 0.5335412002239063]]</t>
  </si>
  <si>
    <t>Ben Davies needs to stop shooting. Ben Davies is that one player in your saturday/sunday team who only shoots. One of these days Ben Davies is going to score one of those #wal. Ben davies shooting like he is a top goal scorer 😭😭. Ben Davies is needs to get subbed.</t>
  </si>
  <si>
    <t>[["offsid", 0.7099185252140008], ["sub", 0.4362398767444687], ["throw", 0.3507145601574436], ["gavranov", 0.339713449003597], ["long", 0.2594311611113825]]</t>
  </si>
  <si>
    <t>Also, what's up with Gary Bale taking the long throw-ins. That's a thing? I mean, he has had lots of free time so... Gavranovic goal 🔥🔥 , Switzerland leading in last 5 minutes of the game 👀. When you score a goal / when it turns out to be an offside #sui euro 2020.</t>
  </si>
  <si>
    <t>[["var", 1.0]]</t>
  </si>
  <si>
    <t>Yes it was... The fact they needed Var for this???. And there the Swiss become against the VAR EURO 2020. Or not… VAR strikes for the first time, no goal for #SUI EURO 2020. Got to be a VAR check here, don't they look at them all? EURO 2020.</t>
  </si>
  <si>
    <t>[["clearli", 0.7071067811865475], ["disallow", 0.7071067811865475]]</t>
  </si>
  <si>
    <t>What's taking so long so clearly offside EURO 2020. Goal Disallowed 😂😂. Offside bc. EURO 2020. Not even a hard call... clearly offside lol. #WALSUI. The truly good thing about VAR is the fact that it sometimes allows both sides to celebrate (goal/disallowed) #WALSUI EURO 2020.</t>
  </si>
  <si>
    <t>[["embolo", 0.5], ["zakaria", 0.5], ["save", 0.4394968396067256], ["commit", 0.3759831551405366], ["foul", 0.32960076918989006], ["ward", 0.2384167107727563]]</t>
  </si>
  <si>
    <t>Zakaria is really good we need to go for him. Good save from Ward. Embolo has been fantastic today though. Chelsea sign embolo up! 90+2 embolo will score trust me. Wales lucky here. Embolo tearing them a new one. Ward with Some brilliant saves.</t>
  </si>
  <si>
    <t>[["keeper", 0.6602594953724067], ["danni", 0.5786142222339602], ["ward", 0.4347173665360911], ["how", 0.20070822561890714]]</t>
  </si>
  <si>
    <t>Wales keeper Danny ward having a hell of a game. How is danny ward not a first choice prem keeper. Danny Ward. Still think he should be our number 2 keeper. 👏🏾👏🏾👏🏾👏🏾👏🏾. Danny Ward best back up keeper in the league, how’s he been so good after playing about 1 minute every season😭.</t>
  </si>
  <si>
    <t>[["class", 0.8164965809277261], ["goalkeep", 0.35960265434180755], ["target", 0.21579940481008253], ["shot", 0.2147738522360583], ["sky", 0.20565206233440286], ["octopu", 0.19326820136016476], ["bet", 0.17797950781921926]]</t>
  </si>
  <si>
    <t>Why’s no one talking about how class danny ward has been then. Danny Ward would be a class 1st choice for a few Prem teams, us included. Surely that was a shot on target for bale 👀 Sky Bet. This Danny Ward fella is class, we ought to take a look at him.</t>
  </si>
  <si>
    <t>[["breel", 0.8486529072530165], ["embolo", 0.5289501328206687]]</t>
  </si>
  <si>
    <t>1-0 Switzerland. Breel Embolo opens the score vs Wales!. Breel Embolo gives Switzerland the lead! 💥. What a player that Embolo looks for Switzerland. Breel Embolo and the goalkeepers have been on form in this game. Breel Embolo is a baller.</t>
  </si>
  <si>
    <t>[["2nd", 0.5716824803612752], ["matchday", 0.5716824803612752], ["brace", 0.41991374532024606], ["win", 0.41234782621845323]]</t>
  </si>
  <si>
    <t>Bale to score a brace today. No chance Wales are winning this, especially with Ben Davies centre half 🤮. EURO 2020 what do you think who will win? Time for the 2nd game of EURO 2020. ⚽️ Here we go! ℹ️ Group A, matchday. 🏴󠁧󠁢󠁷󠁬󠁳󠁿🆚🇨🇭 Who's winning this? EURO 2020.</t>
  </si>
  <si>
    <t>[["save", 0.4182976962011314], ["oof", 0.4182976962011314], ["yann", 0.4182976962011314], ["sommer", 0.35977290180277927], ["moor", 0.3530192626765605], ["inch", 0.35262175403478213], ["cross", 0.31093386748248725]]</t>
  </si>
  <si>
    <t>What a cross from James and what a save from Sommer. #WALSUI. Yann Sommer showing his class there. Saved a definite goal. I predict. wales 1-1 switzerland. embolo and moore to score. Oof. What a save from Yann Sommer. Inches away from a first Wales goal.</t>
  </si>
  <si>
    <t>[["puma", 0.7063520190102347], ["great", 0.5044644806045103], ["tournament", 0.49657065262516936]]</t>
  </si>
  <si>
    <t>Lovely flick by Schar…almost a great goal. EURO 2020. Schar nearly scored a great goal there EURO 2020 #NUFC. Goal of the tournament if that had gone in #WALSUI. That would of been the goal of the tournament on Day 2 of Euros #SUI. It begins PUMA Football euro 2020 🐈‍⬛ 🏴󠁧󠁢󠁥󠁮󠁧󠁿.</t>
  </si>
  <si>
    <t>[["touch", 0.7545774354899277], ["ben", 0.5538536439056552], ["davi", 0.25336579714391444], ["take", 0.24426380783796173]]</t>
  </si>
  <si>
    <t>Ben Davies giving the ball away....🙄 #wal. Ben Davies having a nightmare so far, nice to see him taking his Tottenham form into the euros. Switzerland and Wales both take the knee.. EURO 2020. Has Bale had a touch? Has Ramsey even touched the ball.</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</si>
  <si>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</si>
  <si>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</si>
  <si>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[["bore", 0.5454294980667117], ["gonna", 0.44924817880136897], ["take", 0.44107061272205456], ["pitch", 0.3994516768228744], ["get", 0.3828548144646133]]</t>
  </si>
  <si>
    <t>Joe Rodon the best player on the pitch so far. Aaron Ramsey's workrate is outstanding. Any chance to sign him, we should take it. Go 5 back and take Morrell of for Cabango. Seferovic will score if Wales don't get serious. ARE WE GONNA GET GOALS. THIS IS BORING #WALSUI.</t>
  </si>
  <si>
    <t>[["free", 0.537723299667162], ["card", 0.44151013556368335], ["foul", 0.2794957903018704], ["jame", 0.25599597801797036], ["yellow", 0.2538237202477526], ["xhaka", 0.25340876051020317], ["daniel", 0.25080048011297146], ["pass", 0.23016859749597862], ["kick", 0.22075440440476016], ["bale", 0.1996036023476974], ["win", 0.1979281827724017]]</t>
  </si>
  <si>
    <t>Daniel James for Wales is not the player for united he's so much better.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</si>
  <si>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</si>
  <si>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</si>
  <si>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</si>
  <si>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</si>
  <si>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</si>
  <si>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</si>
  <si>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r>
      <rPr>
        <u/>
      </rPr>
      <t>The Guardian</t>
    </r>
    <r>
      <rPr>
        <u/>
      </rPr>
      <t xml:space="preserve">, </t>
    </r>
    <r>
      <rPr>
        <u/>
      </rPr>
      <t>BeSoccer</t>
    </r>
    <r>
      <rPr>
        <u/>
      </rPr>
      <t xml:space="preserve">, </t>
    </r>
    <r>
      <rPr>
        <u/>
      </rPr>
      <t>LiveScore</t>
    </r>
    <r>
      <rPr>
        <u/>
      </rPr>
      <t xml:space="preserve">, </t>
    </r>
    <r>
      <rPr>
        <u/>
      </rPr>
      <t>BBC</t>
    </r>
  </si>
  <si>
    <t>[["penalti", 0.7577229493575779], ["seferov", 0.3492691149818381], ["second", 0.32394717261525136], ["turkey", 0.3218736571108827], ["embolo", 0.30874357572151606]]</t>
  </si>
  <si>
    <t>How many goals did they say seferovic scored this season? That has to be a penalty, just because he didn’t go down it’s not given #WALSUI. If he had gone down it could have been clear penalty.. EURO 2020. No idea how that isn't a penalty on Embolo there.</t>
  </si>
  <si>
    <t>[["embolo", 0.6361928371411251], ["penalti", 0.4471222417304314], ["pen", 0.3971923300979564], ["seferov", 0.34522287553395237], ["pass", 0.3182797636585378], ["worst", 0.13075850291728774]]</t>
  </si>
  <si>
    <t>Seferovic is awful. One of the worst strikers I have ever seen. Seferovic is taking the piss lmfao how the fuck do you miss. Embolo shouldve tried to shoot there, no clue why he looked for the pass. Respect to Embolo for not going down for a pen, most players would.</t>
  </si>
  <si>
    <t>[["half", 0.495960710822837], ["touch", 0.4012093570554373], ["walsui", 0.37308558923500756], ["dull", 0.25036911366191433], ["far", 0.2460751419767725], ["anoth", 0.23618175200659056], ["goat", 0.21052909183818577], ["varieti", 0.20534157225891642], ["time", 0.19809390500384758], ["ifyama", 0.19449899232198048], ["noti", 0.19449899232198048], ["halv", 0.19211613136629888], ["por", 0.19116615995897132]]</t>
  </si>
  <si>
    <t>Gareth Bale and Dan James combined for 25 touches during the first half. #WAL EURO 2020. Once again another dull game of football so far EURO 2020 Euros 2021. As halves of football go, that was of the less interesting variety EURO 2020.</t>
  </si>
  <si>
    <t>[["need", 0.5150669810576398], ["badli", 0.5118228902073333], ["pass", 0.4965762148732472], ["goe", 0.47555798479905637]]</t>
  </si>
  <si>
    <t>Fabian didn't believe in that last pass.#WALSUI. If embolo goes down thats a penalty. Need to get foothold in this game and Ramsey and Bale on the ball. Or it will end badly 🏴󠁧󠁢󠁷󠁬󠁳󠁿. Come on Wales 🏴󠁧󠁢󠁷󠁬󠁳󠁿 we need a BIG second half 🙏🏼 #WAL.</t>
  </si>
  <si>
    <t>[["yellow", 0.6287170780748073], ["embolo", 0.4494676356841081], ["ff", 0.40348760242786047], ["goal", 0.34379821503795993], ["save", 0.22473381386309543], ["ref", 0.2110279381611362], ["moor", 0.1632670954459327]]</t>
  </si>
  <si>
    <t>If that’s a yellow for Moore, there are going to be 12 bookings a game during this tournament #bbcfootball. What a turn from embolo and what a save from ward. Embolo been absolutely class. Goal now to top it off. Shaqiri is a really good buy ffs i wish i chose him.</t>
  </si>
  <si>
    <t>[["embolo", 0.9453327575141379], ["lead", 0.17463160033728822], ["final", 0.16251606600296703], ["defend", 0.15408276102685314], ["corner", 0.09790716677117861], ["class", 0.09243376213001593], ["gol", 0.08698849977408996]]</t>
  </si>
  <si>
    <t>Embolo balling twice in a minute you live to see it. Embolo has started the 2nd half like a man on a mission. Deserved for Embolo after that fantastic play to win the corner. Wales have been so poor , brilliant touch ,turn of pace and strike from embolo.</t>
  </si>
  <si>
    <t>[["shot", 0.7598989403954794], ["pass", 0.6500412297584112]]</t>
  </si>
  <si>
    <t>Embolo’s the only one on this team that can make his own shot. Cross or shot 🧐 #WALSUI. Bale shot on target please. Akanji’s passing has been excellent today. He’s broken the lines on quite a few occasions. I'd take off Moore. Wales need to be passing through, Ramsay,Bale,etc.</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</si>
  <si>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</si>
  <si>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</si>
  <si>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0.4672659451344876], ["jame", 0.41814844066108886], ["take", 0.41510910804075263], ["mepham", 0.24778505899293804], ["pitch", 0.23987539167998667], ["leagu", 0.2358845312214392], ["isnt", 0.2300400004136704], ["shakira", 0.22766751359282084], ["play", 0.21588829007751478], ["battl", 0.20893259868563824], ["rob", 0.18169918766764026], ["pass", 0.17858784260833468]]</t>
  </si>
  <si>
    <t>I'd rather watch Shakira play football than Shaqiri Euros 2021. #wal are fucking shit even though most of their players are in the Premier League and championship. Loool bale only wants to pass to James. He knows. Why is Daniel James taking a corner for your team ffs.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</si>
  <si>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</si>
  <si>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</si>
  <si>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[["mbabu", 0.618786932279749], ["yellow", 0.5976744384127538], ["tackl", 0.3661963924703614], ["book", 0.2517810340451321], ["daniel", 0.16660126077209525], ["incred", 0.08804911298935612], ["ramsey", 0.08501951510536412], ["nice", 0.08194117130443222], ["emobolo", 0.08190632258505036], ["under", 0.07895926527463205]]</t>
  </si>
  <si>
    <t>Mbabu booked for tackling and winning the ball. Game's gone. If that’s a yellow card on Mbabu then what are we doing here? Mbabu yellow 🥵 also wasn't a bad tackle refs shit. What a tackle from mbabu, how on earth is that a yellow? Dan james bodied as per.</t>
  </si>
  <si>
    <t>[["ramsey", 0.6685991277378476], ["mbabu", 0.5594379263649552], ["2nd", 0.3879286164957951], ["free", 0.2991919140557222]]</t>
  </si>
  <si>
    <t>Mbabu will be close to a 2nd. Ramsey should've score there. That’s 2 brilliant free kicks from Wales (Bale/Ramsey) and not one player gambling on getting the final touch on it. Ramsey licks the air in disappointment after that free kick #WALSUI EURO 2020.</t>
  </si>
  <si>
    <t>[["zakaria", 0.7475184579155607], ["embolo", 0.5390716732553215], ["premier", 0.22823044344916715], ["leagu", 0.18686054037824612], ["book", 0.1836029337879861], ["sub", 0.17292151978929846]]</t>
  </si>
  <si>
    <t>#wal deserve to be further behind her. Procrastinating on the subs is going to cost them. I signed Embolo for Crystal Palace Back in fifa 17.. If embolo went palace, they can charge for europa league. Zakaria is not a good player and Zakaria got Shaqiri is not a good change.</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</si>
  <si>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</si>
  <si>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</si>
  <si>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</si>
  <si>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</si>
  <si>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[["moor", 0.7326285868126206], ["stole", 0.22904709658253525], ["gol", 0.21878070934254829], ["play", 0.21845109645440433], ["manag", 0.2165765746719096], ["score", 0.2022513171038196], ["everywher", 0.19207967294371792], ["hobbi", 0.1911932971126453], ["win", 0.18634528931831443], ["remark", 0.17539690672630234], ["would", 0.17464866254534245], ["bale", 0.1728851962422452], ["leagu", 0.1675300787166239]]</t>
  </si>
  <si>
    <t>RIP the Bale that we saw in the Champions League final against Liverpool who came and stole the show from Ronaldo. 3 things are guaranteed in life: Death. Wales playing horribly. Kieffer Moore scoring. What a header. Didnt think we'd looked like scoring. Get in Moore!! Cmon Cymru.</t>
  </si>
  <si>
    <t>[["moor", 0.7701206296326102], ["header", 0.4943235446345141], ["kieffer", 0.18195677500123247], ["defend", 0.11967537572083765], ["cross", 0.11967537572083765], ["corner", 0.11197589958168148], ["class", 0.11107793250478773], ["keifer", 0.10882938325411784], ["beauti", 0.10713863768396159], ["final", 0.10351002425203806], ["inde", 0.09709625324585804], ["win", 0.09637341776811253], ["head", 0.08877097888051368], ["slow", 0.08859497857927344], ["take", 0.08629691969252729]]</t>
  </si>
  <si>
    <t>Moore is a class striker, would love Watford to sign him. Great header from Moore, poor defending again from a corner to make it 1-1. Switzerland will be kicking themselves now. 1-1 what a header from Moore, low-key want Wales to win this.</t>
  </si>
  <si>
    <t>[["get", 0.7141400560674526], ["jame", 0.7000028430799234]]</t>
  </si>
  <si>
    <t>1-1 - playing with a belief you can win !! #Wal get in !!! Daniel James dey start. Why wales dem no get players anaa. Unless by the luck of the football gods Brooks scores the winner that’s a strange fucking decision to take James off.</t>
  </si>
  <si>
    <t>[["equalis", 0.6414877565361007], ["zakaria", 0.5840122122534489], ["ff", 0.34683390433090344], ["favour", 0.19306356513718567], ["ben", 0.17776679632194312], ["net", 0.17300955565340362], ["embolo", 0.16829306745751346]]</t>
  </si>
  <si>
    <t>Embolo has been class but not scoring that is criminal. What a cross. Zakaria is so good ffs Manchester United are you watching. Now, we can we do everyone a favour and win this match pls 🥺 #wal. 📸 Kieffer Moore nets the equaliser in Baku ⚽️. EURO 2020.</t>
  </si>
  <si>
    <t>[["ben", 0.6588765530131215], ["davi", 0.596933919541966], ["ref", 0.3718371601008876], ["need", 0.26699945684948473]]</t>
  </si>
  <si>
    <t>Wales only need one Moore goal. Ben Davies is a horrific footballer. Ben Davies is a shocking footballer. Ben Davies needs to stop kicking the ball. Who is mepham ? Shouting ref as he’s playing 😂😂 great big pansy. Get Ben Davies off the pitch for someone who can actually cross.</t>
  </si>
  <si>
    <t>[["final", 0.5924202785735466], ["pleas", 0.5112050800739086], ["throw", 0.5107472341150182], ["brook", 0.27567860951449613], ["ramsey", 0.22549090168226932]]</t>
  </si>
  <si>
    <t>Can Wales please score one Moore to win the match. Gareth Bale taking a long throw is so weird. Brooks has a sick final ball. Wales are finally really trying to go for this win EURO 2020. Wales have finally woken up. EURO 2020. Wow, should’ve been two if Ramsey gets to that ball.</t>
  </si>
  <si>
    <t>[["half", 0.842537134135709], ["2017", 0.27131708107103447], ["non", 0.24477247489523762], ["goalscor", 0.23535562599213494], ["winner", 0.23305815379336947], ["ramsey", 0.21655549154758644]]</t>
  </si>
  <si>
    <t>If Ramsey scores the winner I might ejaculate. From non-league in 2017, to a goalscorer at the EUROs... Kieffer Moore, what a story 👏. EURO 2020 #WAL. Bale’s not even half the player from 2016. The first half of this match vs The second half of this match 🤣🤣 #WALSWI EURO 2020.</t>
  </si>
  <si>
    <t>[["offsid", 0.74076043017902], ["var", 0.5110247577686732], ["touch", 0.25089522072443526], ["gavranov", 0.21554764140669913], ["exist", 0.20228066047296941], ["embolo", 0.19950192713035925]]</t>
  </si>
  <si>
    <t>Bale touched his bun more times than he touched the ball...🤦🏾‍♂️. What a decent match this has turned out to be.. Even if that goal was offside. 😂😂 EURO 2020. #SUI back ahead through Gavranovic but looks offside. VAR will surely cancel.</t>
  </si>
  <si>
    <t>[["var", 0.8076619522936751], ["offsid", 0.38714508304261347], ["intern", 0.24436072417063798], ["tournament", 0.20078347411531913], ["net", 0.19499830753840977], ["second", 0.1732828780398545], ["pea", 0.1724047352408356]]</t>
  </si>
  <si>
    <t>How did that take more than 1 second for VAR and how did the linesman miss it. EURO 2020. So we love VAR now, how long before it is the ruination of football again? EURO 2020. VAR got that call was just a touch offside on that one...</t>
  </si>
  <si>
    <t>[["embolo", 0.48185079556949223], ["play", 0.4465421582383987], ["zakaria", 0.2622492588762031], ["cdm", 0.2622492588762031], ["distribut", 0.2622492588762031], ["corner", 0.2622492588762031], ["equalis", 0.2619617724089071], ["moor", 0.22928031938013965], ["leagu", 0.21764214794745065], ["react", 0.20950343002277005], ["save", 0.20340868651110774], ["breel", 0.1987281963865077]]</t>
  </si>
  <si>
    <t>Breel Embolo has been the best player on the pitch all match. Lol that ball was way too heavy from Embolo, could’ve put Zakaria through on goal. There was no need for Brooks to give a corner away there. Surely Danny Ward is too good not to be playing any games of club football.</t>
  </si>
  <si>
    <t>[["danni", 0.6524178958375884], ["ward", 0.46897502906344857], ["bow", 0.2536668526526159], ["club", 0.22883118957555731], ["final", 0.22155839529966628], ["deserv", 0.2166852506721049], ["savag", 0.21027599517822945], ["commit", 0.1297546578375634], ["2017", 0.12053727783548203], ["foul", 0.11389037162351473], ["how", 0.1047300776247853], ["non", 0.10470193588770045], ["goalscor", 0.10456078315589108], ["header", 0.1032370734173761], ["save", 0.09791758139779841]]</t>
  </si>
  <si>
    <t>Celtic Football Club im not saying sign danny ward but... Two excellent saves from Ward in the final minutes to keep a point for #WAL The offside flag was up for the second one, but still. Danny Ward having the game of his life here. What a player.</t>
  </si>
  <si>
    <t>[["danni", 0.4049389907978658], ["ward", 0.4041185005162388], ["offsid", 0.38567414558883867], ["gavranov", 0.37844327659327776], ["rule", 0.3684569584030672], ["wife", 0.3526928843330041], ["scream", 0.17559927902771183], ["swiss", 0.17439335298640463], ["switzerland", 0.17333830089751073], ["take", 0.17117732129015592]]</t>
  </si>
  <si>
    <t>Danny Ward fucking hell he needs to leave Leicester. Danny ward has been exceptional today. but Switzerland should be winning. #WALSUI Gavranovic would be a class player if there was no offside rule in football. The 25% of Swiss in me is screaming for a winning goal #SUI.</t>
  </si>
  <si>
    <t>[["2017", 0.6398425131347043], ["game", 0.3594243130898323], ["produc", 0.34814641703083726], ["masterclass", 0.29054938511713196], ["ethan", 0.20126051193932043], ["21st", 0.17097221818150515], ["ecstasi", 0.16231823818212818], ["given", 0.1596373484935279], ["pass", 0.1577210677564956], ["ward", 0.15652134512188856], ["pint", 0.14914642269263884], ["go", 0.14913325427151358], ["leagu", 0.14267047230621446], ["draw", 0.14144662891961404]]</t>
  </si>
  <si>
    <t>Oh baby it's you. Ethan Ampadu. That makes me love you. Now I'm living in ecstasy. 90 minutes of Gareth Bale going missing in a key game of football. Danny Ward hasn't played a league game since 2017. He's produced a masterclass for Wales at Euro 2020! 🏴󠁧󠁢󠁷󠁬󠁳󠁿.</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</si>
  <si>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</si>
  <si>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</si>
  <si>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[["car", 0.8549295440490254], ["let", 0.27968875483081734], ["suit", 0.27968875483081734], ["remot", 0.16822355108333906], ["control", 0.16006151508297495], ["deliv", 0.15043723393091402], ["toy", 0.1401597481060244], ["want", 0.1282532941597379]]</t>
  </si>
  <si>
    <t>That car must be brought into the premiership -the car presentation of the ball was brilliant 👏🏽👏🏽#TURITA. Nice of Insigne to let them use his car to bring out the match ball. Bocelli. The remote control car. The crowd noise. Bobby Mancini’s suit.. Euro 2020 is tremendous already.</t>
  </si>
  <si>
    <t>[["come", 1.0]]</t>
  </si>
  <si>
    <t>@PizzaExpress COME ON ITALY 🇮🇹 #ITA. Come on Berardi. Come on Turkey #TUR. Come on Mancini. Come on Euro 2021 #TURITA.</t>
  </si>
  <si>
    <t>[["eye", 1.0]]</t>
  </si>
  <si>
    <t>Got my eye on Locatelli here. My eye on locatelli, barella, and Celik. @JonnyFX1 keep a eye on Locatelli and Barella in the midfield for italy absolute ballers 😤. Eyes on Barella tonight 🧐. Eyes down for #TURITA.</t>
  </si>
  <si>
    <t>[["small", 1.0]]</t>
  </si>
  <si>
    <t>Insigne is so small it’s hilarious. Insigne is a small man. Insigne is small 🤏🏼. Didn’t know insigne was that small jheez EURO 2020. Insigne 😭😭😭😭😭😭. To my small kings out there. If Insigne can make it. SO CAN YOU👑. Insigne to score. Bro is Insigne that small ?😂.</t>
  </si>
  <si>
    <t>[["lorenzo", 1.0]]</t>
  </si>
  <si>
    <t>Lorenzo insigne is so good. Lorenzo Insigne is the same height as the queen. @cringesocringee Lorenzo Insigne is the driver. Nice of them to let Lorenzo Insigne drive to the game.. Still can't get over how short Lorenzo Insigne is. EURO 2020.</t>
  </si>
  <si>
    <t>[["curl", 0.6666666666666666], ["target", 0.3333333333333333], ["midget", 0.3333333333333333], ["napoli", 0.3333333333333333], ["chanc", 0.3333333333333333], ["better", 0.2153516458503781], ["gotta", 0.17302925364211294], ["finish", 0.13528162428391033], ["done", 0.12843106810972454]]</t>
  </si>
  <si>
    <t>Insigne should be doing better there. No curl at all. Lorenzo Insigne is a brilliant player but he plays for Napoli... Chance for Insigne. Should’ve at least hit the target from there. Insigne just bottled me like 8 points fuck this midget.</t>
  </si>
  <si>
    <t>[["bonucci", 0.6706282397358853], ["immobil", 0.5142458896265253], ["yard", 0.39086583459944013], ["wtf", 0.2808908017686974], ["shoot", 0.2326653947100709]]</t>
  </si>
  <si>
    <t>@AgyeiAgenda_ He is 5’4 and Bonucci is 6’2 tbf. Bonucci wtf is that. @ankitpathak04 @rohan8r Bonucci is my captain today. Bonucci shooting from 40 yards. Lmao immobile expecting pass from bonucci these juve boys that love to shoot from 35 yards. Immobile up for this tournament.</t>
  </si>
  <si>
    <t>[["deni", 0.7559289460184544], ["penalti", 0.3779644730092272], ["header", 0.3779644730092272], ["cakir", 0.3779644730092272]]</t>
  </si>
  <si>
    <t>Immobile needed to look up on that run. 100% not a penalty. Watching insigne try to win headers is an art form. (22) - Cheilini with the header from the corner and it's well saved by Cakir. Çakir with a terrific save to deny Chiellini. Italy ramping up the pressure though.</t>
  </si>
  <si>
    <t>[["soyuncu", 0.9645915957918777], ["ball", 0.26374808687017776]]</t>
  </si>
  <si>
    <t>Is soyuncu supposed to be good on the ball. Soyuncu is suffering over there. Soyuncu has to stop losing the ball😂. Soyuncu get out and let my boy Kabak ball. How is Soyuncu this bad. Soyuncu playing as if it's Premier League. Soyuncu not on his game today. EURO 2020.</t>
  </si>
  <si>
    <t>[["offsid", 1.0]]</t>
  </si>
  <si>
    <t>Yilmaz is always offside 😭. EURO 2020. Does yilmaz know the offside rule, moving like jesus. Name: Burak Yilmaz. Place of birth: Offside. In-play to get caught offside 3 more odds you giving @KingPaul_AFC. Burak Yilmaz has been watching Alvaro Morata lately it looks like #Offside.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</si>
  <si>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</si>
  <si>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[["header", 1.0]]</t>
  </si>
  <si>
    <t>IMMOBILE MISSED HEADER SHITE. Immobile header. A close header by Immobile even though he was backtracking. EURO 2020. Immobile’s header wide. Immobile close with his header, the home side are going through the gears just now Italy 0 Turkey 0. Euro 2020 On DStv.</t>
  </si>
  <si>
    <t>[["dive", 0.4472135954999579], ["yilmaz", 0.4472135954999579], ["spinazzola", 0.4472135954999579], ["ref", 0.4472135954999579], ["jermain", 0.3173523693157658], ["jena", 0.31509914898277613]]</t>
  </si>
  <si>
    <t>If it's a dive, then why hasn't Yilmaz been booked? This Spinazzola is a right player, him and Insigne are dangerous down that left. Spinazzola has been the brightest in this team so far. euro 2020. Wtf is this ref 💀💀 celik was playing basketball in the box.</t>
  </si>
  <si>
    <t>[["yellow", 0.4472135954999579], ["handbal", 0.4472135954999579], ["penalti", 0.4472135954999579], ["giorgio", 0.4472135954999579], ["pen", 0.4472135954999579]]</t>
  </si>
  <si>
    <t>Totally understand why Italy are asking for the pens cause in serie a any time it hits an arm its a pen yilmaz dive was a shocker too been a good game so far. Wasn't that a foul on Barella inside the box? And that handball at the end is a penalty too?</t>
  </si>
  <si>
    <t>[["second", 1.0]]</t>
  </si>
  <si>
    <t>A goal from Insigne or Immobile second half. EURO 2020. Chiesa second half needed. Berardi and Locatelli haven’t impressed me so far, big second half needed from both. Bring on chiesa at the second half pls. @FCBGox I picked Berardi hoping for second half masterclass.</t>
  </si>
  <si>
    <t>[["bu", 1.0]]</t>
  </si>
  <si>
    <t>This is what we call ‘parking the bus’ #ITATUR. Turkish team playing the entire first half from their team bus. Uefa Euro 2020 #TURITA. Will the car return for the second half or is it stuck behind that bus Turkey have parked ? #TURITA.</t>
  </si>
  <si>
    <t>[["second", 0.5773502691896257], ["car", 0.4571836196015862], ["rio", 0.4228997773057019], ["whi", 0.3525854099382523], ["citi", 0.3066461092223125], ["man", 0.24588061205987485]]</t>
  </si>
  <si>
    <t>✅✅Second in-play bet WON out of 2 in #TURITA. Let's get more in the second half, should we?🤔. I think Manchester City’s living rent free in Rio’s head, guy just said man city instead of Mancini 😂🤧. Has Rio really just called Mancini Man City? 🤣🤣 euro 2020.</t>
  </si>
  <si>
    <t>[["ref", 1.0]]</t>
  </si>
  <si>
    <t>Thanks ref #TUR #ITA. Is the var ref. Turkish ?, shame ! Euro 2021 #ITATUR. The Italians were not happy at all with the decisions made by the ref and VAR this 1st half! 😠. #ITA vs #TUR. EURO 2020.</t>
  </si>
  <si>
    <t>Lorenzo insigne too short. One of Lorenzo Insigne’s first half chances. 🌋 Euro 2020. @Mr_Blavo 😁 Lorenzo Insigne that. Napoli. And why did Lorenzo Insigne bring the ball on in his car?.</t>
  </si>
  <si>
    <t>[["yazici", 0.6548315385632718], ["florenzi", 0.5448630115420333], ["cengiz", 0.3274157692816359], ["second", 0.2753979620116769], ["sub", 0.24478109160560885], ["underway", 0.17707921530800957]]</t>
  </si>
  <si>
    <t>Cengiz Under coming on, finally an outlet for Turkey on the break. Turkey bring on Cenzig Under for the second half, replacing Yazici. Italy also make a sub, Di Lorenzo on for Florenzi. EURO 2020. @eggheadnoyoke Let me and Yazici are not in this game. Burak can't score.</t>
  </si>
  <si>
    <t>Berardi absolute clown. How can you be offside there 😂. This Yilmaz don is the new Benteke why tf is he always offside. There's no way that offside call was correct. Unless the rules have changed, I'm pretty sure you can't be offside from a corner or throw-in.#TURITA #euro.</t>
  </si>
  <si>
    <t>Under for Yazici</t>
  </si>
  <si>
    <t>[["demir", 0.4071220201079885], ["kabak", 0.2781255049696774], ["unlucki", 0.2781255049696774], ["poor", 0.2781255049696774], ["deserv", 0.2781255049696774], ["juventu", 0.2781255049696774], ["assist", 0.2781255049696774], ["spur", 0.2781255049696774], ["lmao", 0.2781255049696774], ["unfortun", 0.2781255049696774], ["itatur", 0.2781255049696774], ["juve", 0.24640149268380973]]</t>
  </si>
  <si>
    <t>Demiral linked to spurs and he does that haha, ofcourse. Demiral is a calamity , can see why he's not getting any game time at juve. Soooooo is that an assist for berardi as per euro fantasy rules? 👀👀. Kabak should have started ahead of this guy that scored the own goal.</t>
  </si>
  <si>
    <t>Di Lorenzo for Florenzi</t>
  </si>
  <si>
    <t>[["come", 0.5], ["spinazzola", 0.5], ["cross", 0.5], ["merih", 0.5]]</t>
  </si>
  <si>
    <t>Spinazzola has been the best player on the pitch by quite some way. Watching Spinazzola has probably been the most enjoyable part of this game. Best name of the tournament so far "Spinazzola" euro 2020. Merih Demiral(Turkish) has scored the first goal of the Euros.!!</t>
  </si>
  <si>
    <t>Demiral (own goal)</t>
  </si>
  <si>
    <t>[["insign", 0.4472135954999579], ["tufan", 0.4472135954999579], ["assist", 0.4472135954999579], ["locatelli", 0.4472135954999579], ["spur", 0.4472135954999579]]</t>
  </si>
  <si>
    <t>That assist from Berardi counts or not? Sorry Demiral, that’s what you get for being linked with Spurs. Im impressed with what Locatelli is doing. Locatelli has so much to his game.. @ben_cook_2005 i have Insigne and Berardi but put Insigne as captain.</t>
  </si>
  <si>
    <t>Ayhan for Tufan</t>
  </si>
  <si>
    <t>[["chiesa", 0.5830870627837321], ["cakir", 0.37504433205269644], ["kabak", 0.37504433205269644], ["pitch", 0.37504433205269644], ["sub", 0.3120520360369838], ["berardi", 0.23808080599123163], ["need", 0.22346967326244324], ["fuck", 0.18449142515411274]]</t>
  </si>
  <si>
    <t>Euro 2021 #TURITA This Cakir fella is fucking good. Chiesa for Berardi is so needed. Bring on Kabak and Turkey will win this 😏😏. Get Berardi off the pitch he is playing against them. Time for Chiesa to step in Berardi's place! #Tur #ITA. It's time to sub in Chiesa and Belloti.</t>
  </si>
  <si>
    <t>Kahveci for Yokuşlu</t>
  </si>
  <si>
    <t>[["barella", 0.5773502691896257], ["immobil", 0.5773502691896257], ["spinazzola", 0.5773502691896257]]</t>
  </si>
  <si>
    <t>Barella is a don. Barella is a baller. Barella is the best player on the pitch he’s so fucking good Euro 2020. @NotAfcZek @hsznnnnn Immobile. Spinazzola is a player. The entire fucking team tbh. Insigne, Barella, Spinazzola. You could not chat to me if my name was Spinazzola.</t>
  </si>
  <si>
    <t>Immobile</t>
  </si>
  <si>
    <t>[["spinazzola", 0.4079667735781295], ["captain", 0.33363387235473596], ["barella", 0.33363387235473596], ["scorer", 0.27171808082388016], ["top", 0.19354001726656853], ["he", 0.16681693617736798], ["mobil", 0.16681693617736798], ["kabak", 0.16681693617736798], ["ff", 0.16681693617736798], ["rebound", 0.16681693617736798], ["deserv", 0.16681693617736798], ["italia", 0.16681693617736798], ["decent", 0.16681693617736798], ["point", 0.16681693617736798], ["movement", 0.16681693617736798], ["right", 0.16681693617736798], ["cakir", 0.16681693617736798], ["that", 0.16681693617736798], ["ciro", 0.14716433793275557], ["great", 0.14198577294725517], ["striker", 0.13126361806135106], ["boot", 0.11872098464556087], ["golden", 0.11718881346098083], ["assist", 0.11429253756676547], ["proper", 0.10294538731311771], ["finish", 0.08756672014055664], ["move", 0.08328520390502658], ["gr8", 0.08110606452689578], ["immobil", 0.07855283468098259]]</t>
  </si>
  <si>
    <t>Immobile, always in the right place at the right time, quality striker. Italy score again immobile could be a shout for top scorer. Barella did so well in the build-up to that but yet again Spinazzola is the man. Oh captain my captain, another goal would be great @ciroimmobile.</t>
  </si>
  <si>
    <t>Cristante for Locatelli</t>
  </si>
  <si>
    <t>[["insign", 0.6324555320336759], ["poacher", 0.31622776601683794], ["kabak", 0.31622776601683794], ["fantasi", 0.31622776601683794], ["name", 0.31622776601683794], ["doubl", 0.2560559598418717], ["hors", 0.22380060776888966], ["dark", 0.2234128196014624], ["lead", 0.18556763033853124]]</t>
  </si>
  <si>
    <t>That's game, set, match for Italy. Poacher's goal for Immobile 🔥🙌. Insigne needs to come off , Chiesa should be playing. What a great name for a footballer: "Immobile". 😀 Euro 2021. Would still be 0-0 if Kabak was playing. Just saying.</t>
  </si>
  <si>
    <t>Dervisoglu for Karaman</t>
  </si>
  <si>
    <t>[["rebound", 0.7071067811865476], ["merih", 0.4523424087646602], ["demir", 0.44890235152048663], ["goal", 0.30638704938747413]]</t>
  </si>
  <si>
    <t>Ciro Immobile scores through a rebound from Spinazolla's extend their lead to 2 goals... #ITA 2-0 #TUR. The first goal in EURO 2020 is an own goal from not so Merih Demiral. Italy lead. Immobile pounces on the rebound to put Italy up by two! EURO 2020.</t>
  </si>
  <si>
    <t>Insigne</t>
  </si>
  <si>
    <t>[["class", 0.5], ["cristant", 0.5], ["bryan", 0.5], ["demir", 0.3412149962651658], ["merih", 0.23759872282722352], ["championship", 0.2006459743856519], ["european", 0.19199053673935979]]</t>
  </si>
  <si>
    <t>Bryan Cristante playing a Euro... this is not a real football tournament. Merih Demiral’s own goal is the first time in European Championship history, the opening goal, has been an own goal.. You have to feel for Demiral. 💔. #Demiral #Turkey #Turkiye EURO 2020 EURO 2021.</t>
  </si>
  <si>
    <t>Chiesa for Insigne</t>
  </si>
  <si>
    <t>[["goal", 0.3648088494525381], ["baller", 0.3420094164946661], ["masterclass", 0.3420094164946661], ["class", 0.3420094164946661], ["dey", 0.3420094164946661], ["spinazzola", 0.3420094164946661], ["insign", 0.2801255129902433], ["demir", 0.2332625266262826], ["merih", 0.20130240902748683], ["unfortun", 0.19650025806975543], ["need", 0.19621452021442], ["first", 0.17761035979119089]]</t>
  </si>
  <si>
    <t>I predicted Italy to win by 2-0. But now I need insigne to score. Unwanted history for Merih Demiral, Euro 2020 open with an own goal. It is the first time in Euro history that the opening goal of the tournament is an own goal. 🙃.</t>
  </si>
  <si>
    <t>Belotti for Immobile</t>
  </si>
  <si>
    <t>[["insign", 0.46094328333363455], ["lorenzo", 0.21624135824212218], ["assist", 0.21624135824212218], ["deserv", 0.21624135824212218], ["beauti", 0.21624135824212218], ["itatur", 0.21624135824212218], ["great", 0.21624135824212218], ["class", 0.21624135824212218], ["cakir", 0.21624135824212218], ["small", 0.21624135824212218], ["kabak", 0.21624135824212218], ["belotti", 0.21624135824212218], ["nice", 0.21624135824212218], ["captain", 0.19228809271246128], ["third", 0.1918423962732652], ["done", 0.19158142262486785], ["littl", 0.1897776268338497], ["finish", 0.1811804757179553], ["fantasi", 0.16452998608451438], ["job", 0.10028401427660141], ["rampant", 0.09978386646411994]]</t>
  </si>
  <si>
    <t>I had insigne in my team and captained up until 3 minutes before the game, my captain subbed off, I’m on depression watch. Insigne deserves that goal top player great finish as well 👊. Insigne off, belotti on. immobile off, chiesa on. some depth there.</t>
  </si>
  <si>
    <t>Bernardeschi for Berardi</t>
  </si>
  <si>
    <t>[["finess", 0.6030226891555273], ["chiesa", 0.6030226891555273], ["masterclass", 0.30151134457776363], ["underr", 0.30151134457776363], ["ball", 0.30151134457776363]]</t>
  </si>
  <si>
    <t>Insigne with the finesse shot 🔥 0-3 Italy. This has been a masterclass by the Italians, Jorginho in particular. That finesse is a classic Insigne goal 😂. Ten minutes of chiesa ball to save me. Chiesa. Was waiting for this lad to come on. Mancini ball in 2021 you love to see it.</t>
  </si>
  <si>
    <t>Söyüncü</t>
  </si>
  <si>
    <t>[["underr", 0.5773502691896257], ["finess", 0.5773502691896257], ["histori", 0.25344654691723817], ["championship", 0.2322307845479664], ["goal", 0.23119077582531564], ["first", 0.2308591469799707], ["european", 0.22296301797370474], ["time", 0.1871035626111206], ["score", 0.15395347609115673]]</t>
  </si>
  <si>
    <t>1 - This is the first time in European Championship history that the first goal of the tournament has been an own goal. Unfortunate. EURO 2020 #TURITA. Mancini is such an underrated manager #Italy. Finesse shot. #TURITA. That Insigne Goal Is Fifa 21 Finesse Esque Lol.</t>
  </si>
  <si>
    <t>Dervisoglu</t>
  </si>
  <si>
    <t>[["brilliant", 0.6636208583758312], ["point", 0.3970695624476621], ["assist", 0.3970695624476621], ["captain", 0.3970695624476621], ["jorginho", 0.22868599256637476], ["excel", 0.18524945577605198]]</t>
  </si>
  <si>
    <t>@agbnufc_ 6 points on berardi I'll take it. @FPLReaction Immobile Goal and Assist as my captain I’m happy with that. Immobile goal and assist 6 points babeeeaa 🤪🤪🤪🤪🤪🤪. Jorginho has been excellent. He is a brilliant player to have if your team has a lot of the ball.</t>
  </si>
  <si>
    <t>[["bernardeschi", 0.8164965809277261], ["lorenzo", 0.4082482904638631], ["ever", 0.19819316288003377], ["score", 0.16896231744925036], ["time", 0.1646612540396496], ["first", 0.16012873833451094], ["singl", 0.12935275581086841], ["least", 0.12656506711718943], ["goal", 0.11546635468263802]]</t>
  </si>
  <si>
    <t>Bernardeschi is player I rate but he’s really frustrating at times. Bernardeschi with the only minutes he should be seeing this whole tournament. Bernardeschi speaking after playing the last 6 mins in the first game of the Euro..</t>
  </si>
  <si>
    <t>[["rice", 0.4472135954999579], ["yellow", 0.4472135954999579], ["soyuncu", 0.4472135954999579], ["barella", 0.4472135954999579], ["ciro", 0.29144310369410553], ["immobil", 0.28260463234863337], ["14th", 0.18760474163581425]]</t>
  </si>
  <si>
    <t>@ChelsForLife32 Rice stans trying to explain why Rice is better than Jorginho. Why does Soyuncu have a different name on his shirt? Söyüncü getting the first yellow card of the tournament... #TUR. 🇮🇹 Ciro Immobile celebrates his 14th international goal for Italy ⚽️. EURO 2020.</t>
  </si>
  <si>
    <t>[["histori", 0.8003472250750046], ["goal", 0.5995367539315168]]</t>
  </si>
  <si>
    <t>This is the first time in European Championship history that the opening goal of the tournament has been an own goal. Merih Demiral goes into the history books. EURO 2020. The first goal of Euro 2020 is here! #ITA.</t>
  </si>
  <si>
    <t>[["chiellini", 0.8774246912871045], ["barella", 0.20097883108578254], ["block", 0.20097883108578254], ["defend", 0.16420514421490448], ["class", 0.15702935308220084], ["fuck", 0.15611365587960838], ["sheet", 0.1419002682153043], ["tackl", 0.14060484731352477], ["man", 0.11482898471073508], ["clean", 0.10612841275938366], ["donnarumma", 0.09483440530844335]]</t>
  </si>
  <si>
    <t>Chiellini ya fucking nonce what you blocked it for I need a goal. Chiellini man just let that go in i need the fantasy points. Chiellini wow 👏 what a player how old is he now. What a tackle, Chiellini is one of my favourite defenders in world football.</t>
  </si>
  <si>
    <t>[["demir", 0.5345224838248488], ["great", 0.5345224838248488], ["impress", 0.2672612419124244], ["immobil", 0.2672612419124244], ["bernardeschi", 0.2672612419124244], ["motm", 0.2672612419124244], ["done", 0.2372269282483153], ["sheet", 0.21002999260436983], ["clean", 0.16527544776880745], ["well", 0.12309328146751176]]</t>
  </si>
  <si>
    <t>Final: Italy beat Turkey 3-0 to kick off Euro 2020. 🇮🇹. ⚽️ Demiral (own goal) ⚽️ Immobile. ⚽️ Insigne. Great win for Italy. My picks off to a great start #turita euro 2020. If Bernardeschi can play for Italy on the Euro’s, you can get that girl.</t>
  </si>
  <si>
    <t>[["car", 0.7447267280806763], ["remot", 0.3571680737513323], ["deliv", 0.35540567440356047], ["control", 0.3377060042684884], ["ball", 0.2783065375764205]]</t>
  </si>
  <si>
    <t>Insigne was defo driving that car with the ball in 😂. Can some explain to me why there was a modified VW remote control car delivering the ball to the referee? #ITA #TUR. That car must be brought into the premiership -the car presentation of the ball was brilliant 👏🏽👏🏽#TURITA.</t>
  </si>
  <si>
    <t>[["target", 0.7904683026741692], ["hit", 0.6125029489458954]]</t>
  </si>
  <si>
    <t>Insigne you have to hit the target…. That was a nice move. Insigne has to hit the target at least! Good inter play. Insigne has to hit the target there. Italy cut turkey open with ease though. Chance for Insigne. Should’ve at least hit the target from there.</t>
  </si>
  <si>
    <t>[["penalti", 0.7071067811865476], ["header", 0.620345289039733], ["save", 0.33936959552412804]]</t>
  </si>
  <si>
    <t>That should be a penalty , but great skill by immobile. Immobile needed to look up on that run. 100% not a penalty. What a header by Chiellini, but what a save by the goalkeeper. What a piece of play! Lovely header and an even better save #Ita #Tur.</t>
  </si>
  <si>
    <t>[["offsid", 0.9040857763613933], ["jermain", 0.34853323819035026], ["jena", 0.24729231863841933]]</t>
  </si>
  <si>
    <t>Jermaine Jenas. “Chiellini left wide open again”. Yes that probably why he was offside 🤷‍♂️🤷‍♂️🤷‍♂️. There's no one marking him because he's a mile offside, Jermaine. #TURITA. Yilmaz is always offside 😭. EURO 2020. Name: Burak Yilmaz. Place of birth: Offside.</t>
  </si>
  <si>
    <t>[["soyuncu", 1.0]]</t>
  </si>
  <si>
    <t>Is soyuncu supposed to be good on the ball. Soyuncu has to stop losing the ball😂. It's good pressing from Italy, but Söyüncü and Demiral not showing what they can do on the ball so far. Soyuncu get out and let my boy Kabak ball.</t>
  </si>
  <si>
    <t>[["dive", 0.5], ["spinazzola", 0.5], ["ref", 0.5], ["yellow", 0.5]]</t>
  </si>
  <si>
    <t>Would like yilmaz to have gotten a yellow for that dive. This Spinazzola is a right player, him and Insigne are dangerous down that left. Wtf is this ref 💀💀 celik was playing basketball in the box. What is a hand ball? Because clearly, this ref doesn’t know. #Ita Euro 2021.</t>
  </si>
  <si>
    <t>[["handbal", 0.5773502691896257], ["penalti", 0.5773502691896257], ["pen", 0.5773502691896257]]</t>
  </si>
  <si>
    <t>That's a pen all day long and I'm Turkish 😭😭 #ita #tur. Have they changed the handball rule again, cos that was a penalty a few months ago! #TURITA euro 2020. That is 100% a penalty ! And it had nothing to do with me having Jorginho to score a penalty ! 😅.</t>
  </si>
  <si>
    <t>[["chiesa", 0.7425544425916044], ["need", 0.6697857118418336]]</t>
  </si>
  <si>
    <t>Chiesa needs to come on. Italy need to bring on chiesa. Get chiesa on i need the fantasy points. Chiesa needs to come on in the second half. Chiesa will need to be introduced in the second half. Chiesa needed. C A R E F R E E Chiesa Needed. Bring on chiesa at the second half pls.</t>
  </si>
  <si>
    <t>✅✅Second in-play bet WON out of 2 in #TURITA. Let's get more in the second half, should we?🤔. Chiesa and Verratti have to be introduced in second half. Second half #TURITA EURO 2020. Di Lorenzo coming on for Italy for the second half and Ünder coming on for Turkey.</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</si>
  <si>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</si>
  <si>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[["highlight", 0.5773502691896257], ["second", 0.5773502691896257], ["sub", 0.408547021908918], ["florenzi", 0.40794934026504737]]</t>
  </si>
  <si>
    <t>First half highlight - that is it. #ITATUR Euro 2020. Yazici (TUR) and Florenzi (ITA) both subbed at HT Euro Fantasy. Second half is under way #TUR 0-0 #ITA. Really good reaction sub from Mancini bringing in Di Lorenzo for Florenzi. Florenzi subbed off, rip my fpl.</t>
  </si>
  <si>
    <t>Berardi absolute clown. How can you be offside there 😂. Since when has the offside rule been changed so that you can be offside from a corner? Can you be offside from throwings now too? #TURITA EUROS 2020. Can literally anyone explain how this is offside?? EURO 2020.</t>
  </si>
  <si>
    <t>[["assist", 0.6666666666666666], ["demir", 0.3333333333333333], ["spur", 0.3333333333333333], ["juve", 0.3333333333333333], ["juventu", 0.3333333333333333], ["kabak", 0.2767669791539066], ["clear", 0.18577176954836871]]</t>
  </si>
  <si>
    <t>Kabak should have started ahead of this guy that scored the own goal. Demiral linked to spurs and he does that haha, ofcourse. Soooooo is that an assist for berardi as per euro fantasy rules? 👀👀. Demiral plays in Italy for juventus, how is this a surprise own goal😂.</t>
  </si>
  <si>
    <t>[["spinazzola", 0.8164965809277261], ["cross", 0.4082482904638631], ["deserv", 0.3534050738769126], ["lead", 0.20438082205706254]]</t>
  </si>
  <si>
    <t>Italy deserve to be leading and the Spinazzola guy is cooking. Spinazzola has been the best player on the pitch by quite some way. Goal: Italy 1, Turkey 0. Demiral turned Locotelli’s cross into his own net. euro 2020. Best name of the tournament so far "Spinazzola" euro 2020.</t>
  </si>
  <si>
    <t>[["ff", 0.35355339059327373], ["deserv", 0.35355339059327373], ["rebound", 0.35355339059327373], ["barella", 0.35355339059327373], ["poacher", 0.35355339059327373], ["baller", 0.35355339059327373], ["spinazzola", 0.35355339059327373], ["immobil", 0.27223259350692186], ["score", 0.22558682371205785]]</t>
  </si>
  <si>
    <t>Barella is a baller man, can't wait to see him with veratti. As long as immobile can score off rebounds in the box, he’s fine. Scoring a poachers goal fits in with immobile very well. Spinazzola with the first shot. He has been amazing in this opening game.</t>
  </si>
  <si>
    <t>[["striker", 0.5], ["barella", 0.5], ["assist", 0.3979262007906552], ["insign", 0.3842040336742438], ["need", 0.3199800939252949], ["spinazzola", 0.30274533642042306]]</t>
  </si>
  <si>
    <t>Insigne needs to come off , Chiesa should be playing. Need a turkey goal or an insigne goal. Man, this Barella guy is what we're missing! What a player! Italy's striker just scored but I thought he was Immobile. That barella turn and pass set up the goal. Spinazzola assist 👏🏽.</t>
  </si>
  <si>
    <t>[["doubl", 0.7688234930675597], ["lead", 0.6394610515953228]]</t>
  </si>
  <si>
    <t>Italy double the lead. Goal - IMMOBILE. Turkey 0-2 Italy (66 mins) #bangbet. Euro 2020. Italy double there lead against Turkey, Immobile did goal in 65'minute in euro cup.. Turkey 0- 2 Italy. Uefa Euro 2020. 2-0 Italy. Ciro Immobile doubles the lead!.</t>
  </si>
  <si>
    <t>[["class", 0.7071067811865476], ["demir", 0.527983607723039], ["merih", 0.3568102949892297], ["championship", 0.3064632496164311]]</t>
  </si>
  <si>
    <t>Top class. Locatelli been class. Barella oozes class. Merih Demiral’s own goal is the first time in European Championship history, the opening goal, has been an own goal.. You have to feel for Demiral. 💔. #Demiral #Turkey #Turkiye EURO 2020 EURO 2021. Jack 🇦🇷👑 Jorginho been class.</t>
  </si>
  <si>
    <t>[["baller", 0.5773502691896256], ["class", 0.5773502691896256], ["demir", 0.44039241221362213], ["merih", 0.3733468315092555]]</t>
  </si>
  <si>
    <t>Jorginho might be a baller ffs I lost. Berardi is a baller, never watched him before. This niggas making Jorginho look like a baller I'm sick. The first goal in EURO 2020 is an own goal from not so Merih Demiral. Italy lead. Jorginho has been class this past few months.</t>
  </si>
  <si>
    <t>[["insign", 0.5385782551638797], ["assist", 0.4652674888185008], ["finess", 0.4652674888185008], ["deserv", 0.2326337444092504], ["cakir", 0.2326337444092504], ["class", 0.2326337444092504], ["beauti", 0.1919161212777479], ["italia", 0.16854106842620328], ["score", 0.15388358263282834], ["itatur", 0.12702109156853292], ["turchia", 0.09786730602382325]]</t>
  </si>
  <si>
    <t>Insigne been the mvp of this game, well deserved goal. Italy have looked solid tonight , insigne been class , lovely finish then. Insigne showing us that he has the finesse shot trait. Insigne and immobile were playing too good not to get a goal of an assist.</t>
  </si>
  <si>
    <t>[["belotti", 0.3903066518375536], ["ball", 0.3903066518375536], ["championship", 0.3657898793493838], ["european", 0.3486628005627724], ["histori", 0.3077888358842187], ["captain", 0.2864819798559889], ["first", 0.2726124471062512], ["fantasi", 0.2650799081153342], ["time", 0.25825780180452224], ["demir", 0.1306509776799361], ["nessun", 0.10930457107323592], ["score", 0.10809475368121683], ["dorma", 0.10565944945251451]]</t>
  </si>
  <si>
    <t>Few in play bet wins and Insigne my fantasy captain. Lovely 🇮🇹. Mancini ball in 2021 you love to see it. 🗞️ 𝗙𝗼𝗼𝘁𝗯𝗮𝗹𝗹 𝗡𝗲𝘄𝘀 - EURO 2020. This is the first time in European Championship history that Italy has scored more than 2 goals in a game. #TUR 0-3 #ITA.</t>
  </si>
  <si>
    <t>[["bernardeschi", 0.8164965809277261], ["yellow", 0.4082482904638631], ["soyuncu", 0.30935365488086514], ["desper", 0.18974876240184016], ["book", 0.1869823254895694]]</t>
  </si>
  <si>
    <t>Soyuncu been desperate to get booked - 3 fouls worthy in the last 5 mins. Söyüncü getting the first yellow card of the tournament... #TUR. To this day idk how Bernardeschi is still a professional footballer. Bernardeschi is one of the worst player to play for Italy.</t>
  </si>
  <si>
    <t>[["histori", 1.0]]</t>
  </si>
  <si>
    <t>👏🔥🇮🇹 Lorenzo Insigne makes it 3, and makes history.. This is the first time in European Championship history that Italy has scored more than 2 goals in a game.. #TUR 0-3 #ITA EURO 2020. 🎥 ESPN FC.. The first goal in EURO 2020 is an own goal from not so Merih Demiral. Italy lead.</t>
  </si>
  <si>
    <t>[["chiellini", 0.7537539528815282], ["rice", 0.3952849755128556], ["defend", 0.3395418857062983], ["tackl", 0.292287362557992], ["class", 0.2215112420638913], ["still", 0.16067651299579636]]</t>
  </si>
  <si>
    <t>Chiellini celebrating a tackle 3-0 up. Love to see it. Chiellini is absolutely world class. What a player. Shows age does not matter. Chiellini - take a bow. Love to see that from a defender. What a tackle, Chiellini is one of my favourite defenders in world football.</t>
  </si>
  <si>
    <t>[["car", 0.9421928051392245], ["control", 0.2303593542956185], ["rocket", 0.22244137615927742], ["take", 0.09862616288161903]]</t>
  </si>
  <si>
    <t>How cute is it they used Insigne’s wee car to take the ball out for kick off 🤣. Actually love the remote control car carrying the ball to the players #ITA #TUR forza Azzurri! That car must be brought into the premiership -the car presentation of the ball was brilliant 👏🏽👏🏽#TURITA.</t>
  </si>
  <si>
    <t>[["mancini", 0.9043151401729398], ["dress", 0.3506201334735962], ["ball", 0.2434741244094612]]</t>
  </si>
  <si>
    <t>Mancini in that suit. Call it off - that combo should win the euros.. EURO 2020 #Mancini. Andrea Bocelli, Mancini’s jacket, the RC VW carrying the ball… proper Euro-madness to kick off EURO 2020. Mancini wins best dressed already for EURO 2020.</t>
  </si>
  <si>
    <t>[["uber", 0.5901723186473854], ["circl", 0.533533002143768], ["carri", 0.4794170439886659], ["nice", 0.37040311534731557]]</t>
  </si>
  <si>
    <t>It was fucking nice of Insigne to let his Uber carry the football to the centre circle😂.</t>
  </si>
  <si>
    <t>[["insign", 0.920049238668466], ["ff", 0.2797882302749131], ["target", 0.2742771310649287]]</t>
  </si>
  <si>
    <t>Insigne ffs!! How? I got this man to score first ffs 😂. Insigne has to score that. Italy have been class so far. #ITA. Insigne HAS to hit the target right there. Beautiful give go! #ITA. Insigne with a miss post-Liverpool Torres would have been proud of #TURITA.</t>
  </si>
  <si>
    <t>[["offsid", 0.7247703508939954], ["chiellini", 0.47788494376404905], ["save", 0.29391394966174716], ["var", 0.24557088121434334], ["cakir", 0.2303232414526285], ["ref", 0.21585795312942122]]</t>
  </si>
  <si>
    <t>Typical Immobile... pleading to the ref for a penalty... 😒. Jermaine Jenas. “Chiellini left wide open again”. Yes that probably why he was offside 🤷‍♂️🤷‍♂️🤷‍♂️. Chiellini was offside anyways, but a wonderful save by Çakir. Yilmaz has been offside 16 times in 30 mins. Impressive.</t>
  </si>
  <si>
    <t>[["half", 1.0]]</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</si>
  <si>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</si>
  <si>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</si>
  <si>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</si>
  <si>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[["pass", 0.8019779659755332], ["donnarumma", 0.4763858149012739], ["insign", 0.36039963575258466]]</t>
  </si>
  <si>
    <t>Turkey's strategy should be just pass it to Yilmaz 😭. Florenzi been watching videos on Masina? Loves an aimless pass down the line. Berardi gotta stop with these flipping chip passes. Insigne with a good attempt, turkish gk with a classic donnarumma save, right into his hands.</t>
  </si>
  <si>
    <t>[["jorginho", 0.5735148597798985], ["chiellini", 0.5429272313686127], ["dive", 0.2908102536917907], ["insid", 0.23552109024607898], ["final", 0.1720683925943388], ["jon", 0.16364041591055398], ["imposs", 0.1592996103064752], ["3rd", 0.15620100758995023], ["cakir", 0.15290634467700448], ["defend", 0.14582474478434923], ["turkish", 0.14553169774808808], ["plumber", 0.1396720309761626], ["keeper", 0.1301609055980398], ["pitch", 0.12524417176052338], ["best", 0.11021878131856637]]</t>
  </si>
  <si>
    <t>Turkey defending, Italy passing hoping to find some space, Immobile finally does but it's fairly easy for Çakir. 0-0 (44) Diving instead of cutting Chiellini inside... he isn't made for the big moments. Jorginho has to be the most boring footballer ever to play the game.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</si>
  <si>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</si>
  <si>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[["half", 0.6483801611960816], ["penalti", 0.362377006610141], ["jorginho", 0.30596033892044644], ["premier", 0.2989955401081619], ["spinazzola", 0.2604855100498161], ["leagu", 0.21366133435133705], ["rob", 0.14513076189078006], ["pen", 0.14513076189078006], ["assist", 0.13179596188459558], ["handbal", 0.12269007433559119], ["ref", 0.11263388265692749], ["play", 0.10764548933630383], ["win", 0.10476001513898049], ["pitch", 0.09810683595511299], ["dread", 0.09433742233380653], ["clars", 0.08988894965936883], ["var", 0.08783330681524348], ["possess", 0.08749525510019134]]</t>
  </si>
  <si>
    <t>Jorginho would have had a hatrick just of penalties if this was the premier league. Jorginho getting robbed of assists even in the national team. Wtf is this ref 💀💀 celik was playing basketball in the box. I just want insigne to get 2 goals this half. Is this too much to ask.</t>
  </si>
  <si>
    <t>[["pitch", 0.5935050067089506], ["jorginho", 0.5711753762499906], ["take", 0.5670189561003143]]</t>
  </si>
  <si>
    <t>Jorginho been the best player on the pitch. #ITA 👏 TAKE 👏 YOUR 👏BLOODY 👏 CHANCES 👏. Take Manuel off and bring on Pessina Italy ⭐️⭐️⭐️⭐️. Mourinho go take Spinazzola worry waaaaa. Take off Donnarumma and replace him with Belotti. Italy don't need a GK.</t>
  </si>
  <si>
    <t>[["pre", 0.6212627158122765], ["park", 0.4393571267989271], ["talk", 0.40676404115664494], ["instead", 0.20605336115486442], ["lita", 0.20605336115486442], ["half", 0.15788077982081802], ["handbal", 0.1476697573393109], ["xhaka", 0.14300823683230537], ["barella", 0.14144156881901282], ["spinazzola", 0.13399243167271982], ["domin", 0.12979916748858147], ["ball", 0.12944956715032233], ["that", 0.1286361015024197], ["jorginho", 0.12381029389850616]]</t>
  </si>
  <si>
    <t>How does a guy named Spinazzola end up becoming a footballer instead of a DJ?😂. EURO 2020. Jorginho doing the work of 2 players blud he's insane. All the pre-match talk about Locatelli and Barella in Italy’s midfield just for Jorginho to be the best player on the park.</t>
  </si>
  <si>
    <t>[["need", 1.0]]</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</si>
  <si>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</si>
  <si>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</si>
  <si>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</si>
  <si>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0.9451774477053672], ["corner", 0.32655718082621876]]</t>
  </si>
  <si>
    <t>Berardi absolute clown. How can you be offside there 😂. Well that is one of the most stupid ways of getting offside I've ever seen. #TURITA. The ball didn’t go forward? So it’s not offside? #ITA euro 2020. You can’t be offside from a corner! euro 2020 #ITA.</t>
  </si>
  <si>
    <t>[["demir", 0.8607143954255002], ["goal", 0.4106410237536429], ["locatelli", 0.23313657836667334], ["gol", 0.10983647857687195], ["defend", 0.10983647857687195], ["lead", 0.1098358361056187]]</t>
  </si>
  <si>
    <t>Was praising demiral 😭. finally a goal to set the deserved leaders up. Demiral been clarse all game by why is he trying to defend that with his chest. That goal was started by a beautiful ball in behind the lines by Locatelli, Berardi did well and Demiral couldnt do much about it.</t>
  </si>
  <si>
    <t>[["demir", 0.4786511040838529], ["merih", 0.418994168888637], ["deserv", 0.3936184651405993], ["goal", 0.3875248285413437], ["net", 0.2537468991979151], ["spinazzola", 0.22527160338413327], ["juventu", 0.22516353304845294], ["juve", 0.22206061502570476], ["berardi", 0.19610963431370515], ["player", 0.19137061421770982]]</t>
  </si>
  <si>
    <t>A Juventus player (Demiral) scores a goal, but it's not for his home country. It's an own goal and Italy lead. Italy 1-0 Turkey. 🔥🔥💪💪💙💙At least Juve players know what justice is... thanks Demiral... you are a real Juve player 🖤🤍.</t>
  </si>
  <si>
    <t>[["insign", 0.5184995672782924], ["cross", 0.43376639553508106], ["initali", 0.42127889037274924], ["deflect", 0.3919934847438076], ["strike", 0.25606907518138583], ["need", 0.2119033244279847], ["confus", 0.15012352512064658], ["pitch", 0.14272746183940113], ["juventu", 0.12520993675336703], ["best", 0.1239629848030536], ["happen", 0.118128600918521], ["teammat", 0.11614133518156997]]</t>
  </si>
  <si>
    <t>Demiral got confused seeing his Juventus teammates on the pitch. Happens to the best. Please Insigne do something...I need my points. Get an assist or goal🤲🏽🤲🏽🤲🏽. Insigne cuts in and tries to curl one, this time it takes a deflection over. 0-1 (57)</t>
  </si>
  <si>
    <t>[["shot", 0.8891341158517417], ["breakthrough", 0.4576467240443676]]</t>
  </si>
  <si>
    <t>Insigne shot. Locatelli just had a shot…. surely that just shows turkey are not dark horses. Chiellini shot. 14 shots later, #ITA finally open the scoring in EURO 2020.. 🇮🇹 Italy make the breakthrough in the opener via a Merih Demiral own goal ⚽️. EURO 2020.</t>
  </si>
  <si>
    <t>[["chiesa", 0.6581720614061766], ["berardi", 0.6180498822131141], ["pass", 0.42991148005223095]]</t>
  </si>
  <si>
    <t>#Berardi should remember that it’s not playing with Sassuolo and he need to pass as well Italy Turkey. Seriously sub berardi off for chiesa or for no one, he’s shit. The one time Berardi chooses to pass it leads to a goal😂. Take off Berardi and bring on Chiesa #ITA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</si>
  <si>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</si>
  <si>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</si>
  <si>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[["lead", 0.5888670980173166], ["scene", 0.5845686265644677], ["immobil", 0.47548390290138], ["gol", 0.29228431328223387]]</t>
  </si>
  <si>
    <t>Personally think Jorginho should be leading the goalscoring table with that handball. Immobile to score a few this tournament calling it now. Very very surprised that Immobile isn’t one of the strikers that we are looking at. He grantees you goals no matter what.</t>
  </si>
  <si>
    <t>[["immobil", 0.7672047779349079], ["move", 0.2857295802010881], ["barella", 0.259335322375096], ["turkish", 0.25045388198013047], ["bestyouunfollowmenowtbh", 0.2414636572693545], ["spinazzola", 0.1946865149611028], ["didnt", 0.19126722779176172], ["save", 0.18574492538591028], ["cakir", 0.16089384490569106], ["defend", 0.08120827131367042]]</t>
  </si>
  <si>
    <t>Immobile scores the second and it's game, set and match. euro 2020. Cakir obviously won’t like conceding but what a first save that was on the deflection👀. #Turkey #Italy. The turkish defenders didn’t move, it was almost as if they were immobile...</t>
  </si>
  <si>
    <t>[["footbal", 0.5750917809324794], ["time", 0.5601444802121289], ["cruis", 0.44306627102963947], ["full", 0.39899860183675234]]</t>
  </si>
  <si>
    <t>Letting someone like Mancini waste his time in international football is mad. I hate football Football 😶. #TURITA. The irony of having a footballer player called Immobile who is surprisingly very mobile Euro 2021. Italy cruise into a 2️⃣➖0️⃣ lead 🛵 #ITA.</t>
  </si>
  <si>
    <t>[["lead", 0.6401189428769368], ["fire", 0.6401015759129188], ["ciro", 0.4248737594673395]]</t>
  </si>
  <si>
    <t>I really, really hope the Lazio stadium DJ plays La donna e mobile whenever Ciro Immobile scores. 2-0 Italy. Ciro Immobile doubles the lead!. ITALY LEAD 2-0! 🇮🇹. Ciro Immobile with his first goal of EURO 2020 💥. 📸 Immobile fires in second for Italy against Turkey ⚽️. EURO 2020.</t>
  </si>
  <si>
    <t>[["14th", 0.9262159278531592], ["locatelli", 0.3769934415757272]]</t>
  </si>
  <si>
    <t>Locatelli, what a player. Locatelli - De Paul - Partey. Midfield goes from ass to class. I'm on my knees Arsenal. Locatelli is a quality player. How dare Mancini take off Locatelli 😂. 🇮🇹 Ciro Immobile celebrates his 14th international goal for Italy ⚽️. EURO 2020.</t>
  </si>
  <si>
    <t>[["jorginho", 0.942364885314528], ["regista", 0.3345869437472667]]</t>
  </si>
  <si>
    <t>How the fuck do you get Verratti back into this XI? Jorginho's been class. What version of jorginho is this?!! 👀😲🙆... He's playing too many forward passes 😭😭😭. Jorginho is a great player, dunno who needs to hear this. Jorginho balling in midfield, things you love to see.</t>
  </si>
  <si>
    <t>[["insign", 0.716363466872146], ["gol", 0.5069478415775114], ["spinazzola", 0.3332173194377016], ["pitch", 0.22362505395299828], ["win", 0.19958540829823604], ["final", 0.17014989661037072]]</t>
  </si>
  <si>
    <t>Spinazzola and Immobile are the only players playing football tonight. Fam these man have to take insigne off set pieces. If Italy will win the euros insigne surely should win the ballon d'or right?!?!?!?!?!?!?!? Took Insigne like 6 attempts at the same finish to finally score it.</t>
  </si>
  <si>
    <t>[["insign", 0.7534767942577076], ["keeper", 0.4630850693180597], ["pass", 0.3166349387798923], ["finess", 0.30986170089716003], ["defend", 0.14680933536661944]]</t>
  </si>
  <si>
    <t>Insigne needed to score after all the short jokes 😭 happy for the guy. Insigne showing us that he has the finesse shot trait. 3-0. Insigne gets his deserved goal. The Turkey keeper with a brilliant pass to start the move and it ends up in a simple finish.</t>
  </si>
  <si>
    <t>[["jorginho", 0.5627192927015302], ["seen", 0.27697113217746133], ["chiesa", 0.2723068708547841], ["champion", 0.2643562973531905], ["ive", 0.2544363706715349], ["enough", 0.2510640395600395], ["sub", 0.24288787693087371], ["footbal", 0.24068738105579782], ["well", 0.220791440983538], ["carri", 0.15256698238831637], ["good", 0.14079063425287464], ["form", 0.13041694155013905], ["win", 0.12445548531125467], ["deadars", 0.12352517451742225], ["nut", 0.12275516907679222], ["nah", 0.12233515111118325], ["espn", 0.12133831168347466], ["treat", 0.10931151842502651], ["that", 0.10636340611266107], ["first", 0.1013858944566761]]</t>
  </si>
  <si>
    <t>We just casually sub in chiesa and belotti😂😂😂 love it. We’re winning the European Championship Italy ⭐️⭐️⭐️⭐️. Jorginho looks absolutely crazy in this Italy team and whenever I see him play international football. The pace suits him a lot man.</t>
  </si>
  <si>
    <t>[["curl", 0.6580706453335861], ["lorenzo", 0.5252097091720432], ["corner", 0.3437399148268636], ["uber", 0.24625142569133135], ["possess", 0.2000384071782756], ["leagu", 0.19208698390198845], ["insign", 0.188117303059762]]</t>
  </si>
  <si>
    <t>Immobile for Lazio: 177 games. 123 goals. 33 assists. All league #ITA. Insigne gave out his car to deliver the ball. Insigne's Uber had more ball possession than Turkey. Lorenzo Insigne curling the ball into the far corner first time. Clean 😎.</t>
  </si>
  <si>
    <t>[["bernardeschi", 0.8531695448691141], ["barella", 0.5216337102870446]]</t>
  </si>
  <si>
    <t>Barella is always on the ball. Incredible player. Bernardeschi is so bad I can’t take it. Bernardeschi is by far the worst player on #ITA. If Bernardeschi can play football at a professional level you can be anything you want.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</si>
  <si>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</si>
  <si>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</si>
  <si>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[["chiellini", 0.8203916317694427], ["first", 0.22412972983720922], ["time", 0.22383663741680396], ["eas", 0.17605552509686065], ["defend", 0.17401827104661513], ["three", 0.1716732250933414], ["tackl", 0.1639105417222844], ["delight", 0.16331498635070826], ["game", 0.1356315369538438], ["worst", 0.1327781530401134], ["nico", 0.12904864321935458], ["feet", 0.12816244193158008], ["spinazzola", 0.11501054583090528]]</t>
  </si>
  <si>
    <t>All those years of experience from chiellini there, what a tackle. Chiellini taking goal kicks is exactly the sort of thing the Euros is all about. Chiellini at 50 is more agile than our in prime defenders 😭😭. Chiellini wow 👏 what a player how old is he now.</t>
  </si>
  <si>
    <t>[["kebabi", 0.8023805150094374], ["cook", 0.4497346688144082], ["jorginho", 0.3923317942756926]]</t>
  </si>
  <si>
    <t>Weldone to Italy ⭐️⭐️⭐️⭐️ #ITA. This also goes to Our Chelsea player JORGINHOOO. Turkey vs Italia. 0-3. Euro 2020. Burak Yilmaz vs Italie | 11/06/21 | Euro 2021 | Skills and Highlight | The best Kebabier in the world 🔥🔥🔥. Jorginho was cooking tonight, star player.</t>
  </si>
  <si>
    <t>[["versu", 0.957039494288489], ["vivo", 0.28995759409271077]]</t>
  </si>
  <si>
    <t>🕹️ EN VIVO. ARSENAL versus,. SOUTHAMPTON[]][ARSENAL Versus,. SOUTHAMPTON.. ➡️ ver en vivo.. Arsenal vs Southampton'\|| Arsenal vs Southampton.</t>
  </si>
  <si>
    <t>[["onlin", 0.7494461583921549], ["direct", 0.4857664416608313], ["vivo", 0.4498459956778713]]</t>
  </si>
  <si>
    <t>💠 𝐋𝐢𝐯𝐞 Stream Online 🆓. PL Live Streaming Online FreeARSENAL versus, SOUTHAMPTON. ARSENAL Versus, SOUTHAMPTON.. ➡️ ver en vivo.. 📹 EN DIRECT.</t>
  </si>
  <si>
    <t>That ball from Xhaka was 👌 shame it was offside. Saka to Nketiah goal but it was offside my heart is on fire 😭😭😭😭😭. Saka with the most offside run I've seen since 1987. Even though it was offside, that’s the importance of Xhaka in the midfield.</t>
  </si>
  <si>
    <t>[["foul", 0.447213595499958], ["miss", 0.447213595499958], ["bar", 0.447213595499958], ["aubameyang", 0.3835227716975346], ["crossbar", 0.3760482901127803], ["hit", 0.24204892791180507], ["score", 0.23002235454285908]]</t>
  </si>
  <si>
    <t>Xhaka will do that exact same foul and be booked. @ltarsenal About the same time Saka hit the crossbar against Brighton. Arsenal should be in front. Aubameyang played through on goal but he hits the bar.. How did Aubameyang miss that. I had already counted it as 1-0.</t>
  </si>
  <si>
    <t>[["mustafi", 0.7501324351888052], ["yellow", 0.3604061722468584], ["unlucki", 0.27398450182849704], ["ref", 0.27398450182849704], ["red", 0.23472846481496387], ["foul", 0.2297979893770453], ["book", 0.2221916696987967]]</t>
  </si>
  <si>
    <t>Refs are banter. How has mustafi got booked but not their player 🤨. How is that a yellow for Mustafi but the professional foul on Pepe wasn't? Mustafi has one yellow card season nah I don’t believe that. Mustafi wins the ball, doesn't touch the player, Mustafi get yellow carded.</t>
  </si>
  <si>
    <t>[["ceballo", 0.408248290463863], ["spin", 0.408248290463863], ["dani", 0.408248290463863], ["score", 0.408248290463863], ["injur", 0.3539542613652852], ["saka", 0.20342823680114341], ["versu", 0.19188917296379943], ["vivo", 0.18724154806858762], ["onlin", 0.17515853792712394], ["southampton", 0.1542752992577862], ["stream", 0.12057754593157857], ["ver", 0.11497675379430207], ["direct", 0.11200819066929814]]</t>
  </si>
  <si>
    <t>@OsmanZtheGooner And just then Ceballos gets caught on the ball trying to spin. Arsenal players make Dani ceballos to look very like a championship player. #SOUARS. If Saka is injured here I'm never watching football again. Better be taking the piss if Saka goes off injured.</t>
  </si>
  <si>
    <t>[["injuri", 0.5773502691896257], ["ff", 0.5773502691896257], ["curs", 0.5773502691896257]]</t>
  </si>
  <si>
    <t>Another day, another injury for an Arsenal player. Cursed. Not saka now ffs, we will have no squad left at this rate. How did Auba miss that? Saka injury. We are actually a cursed club. Arsenal players are having injuries pon injuries right now.</t>
  </si>
  <si>
    <t>[["differ", 1.0]]</t>
  </si>
  <si>
    <t>Xhaka makes such a difference to our game. Xhaka proving the difference. Xhaka already making a difference. Xhaka makes an immense difference. Xhaka so good man what a difference he makes. Love the guy. Xhaka making a massive difference in there so far.</t>
  </si>
  <si>
    <t>[["error", 0.34287959296322673], ["keeper", 0.22948683199059694], ["terribl", 0.22948683199059694], ["goal", 0.22948683199059694], ["alex", 0.22948683199059694], ["gift", 0.22948683199059694], ["smh", 0.22948683199059694], ["fuck", 0.22948683199059694], ["howler", 0.22948683199059694], ["final", 0.22948683199059694], ["score", 0.22948683199059694], ["mistak", 0.22948683199059694], ["lead", 0.22948683199059694], ["press", 0.22948683199059694], ["call", 0.22948683199059694], ["btw", 0.2039357459676782], ["goalkeep", 0.19951513179727623], ["done", 0.16953682568695], ["well", 0.15466567425603261], ["lacazett", 0.10523505867194209]]</t>
  </si>
  <si>
    <t>Arsenal u have one job not to lose the lead. Teams always seem to have howlers like that against arsenal ffs. Mccarthy with an error of the season. Nketiah with a good press. If that was Lacazette, the keeper would of caught him up. Yo who the fuck is in goal for arsenal 😭😭😭.</t>
  </si>
  <si>
    <t>[["plant", 0.6528533338876606], ["tree", 0.5486520423299153], ["miss", 0.2932494941969412], ["var", 0.2571978828529817], ["lacazett", 0.19806012606347834], ["eddi", 0.17904933259629546], ["check", 0.1408705608092258], ["bellerin", 0.12156341282924638], ["that", 0.12127979554444378]]</t>
  </si>
  <si>
    <t>Var checking if nketiah coughed at the gk to get the ball😭😭. @iseekwisdm He really wants bellerin to start planting some trees. This is a clue in how to plant 3000 trees. He has been planting trees now, what do expect bro. So painful his done😟.</t>
  </si>
  <si>
    <r>
      <rPr>
        <u/>
      </rPr>
      <t>The Guardian</t>
    </r>
    <r>
      <rPr>
        <u/>
      </rPr>
      <t xml:space="preserve">, </t>
    </r>
    <r>
      <rPr>
        <u/>
      </rPr>
      <t>BeSoccer</t>
    </r>
    <r>
      <rPr>
        <u/>
      </rPr>
      <t xml:space="preserve">, </t>
    </r>
    <r>
      <rPr>
        <u/>
      </rPr>
      <t>BBC</t>
    </r>
  </si>
  <si>
    <t>[["bellerin", 0.6724965314565668], ["celebr", 0.3191497863093264], ["bottl", 0.3191497863093264], ["gift", 0.3191497863093264], ["aw", 0.2791400192279182], ["shit", 0.24980576542419783], ["assist", 0.2305733126717169], ["idiot", 0.22066384748045925]]</t>
  </si>
  <si>
    <t>Being an Arsenal fan means you don’t even celebrate when we’re 1-0 up. Southampton gifted Arsenal a goal just like that. Cédric will be our first choice RB. Bellerin is awful. Am only watching this game for arsenal to bottle it. I hope Arteta is seeing how shit Bellerin is.</t>
  </si>
  <si>
    <t>[["declin", 0.408248290463863], ["aw", 0.408248290463863], ["useless", 0.408248290463863], ["pass", 0.408248290463863], ["hector", 0.408248290463863], ["done", 0.3588852104379508], ["frog", 0.19459720551841048]]</t>
  </si>
  <si>
    <t>@CFCBenji @sfcdannnn Sad decline of arsenal football club. Hector Bellerin has to be one of the most useless and overrated RB in the premier league. Bellerin has been shakey. His positioning and passing are awful. Bellerin is a frog, really done out here.</t>
  </si>
  <si>
    <t>[["shit", 1.0]]</t>
  </si>
  <si>
    <t>Nah man, Bellerin???? What a shit show. Bellerin is looking mad shit uno. Bellerin is fucking dog shit loooool. Bellerin been so shit recently. Bellerin is shit. Bellerin is shit. Bellerin is shit. Bellerin is shit. Bellerin is shit. Bellerin is shit. Lmaooo bellerin is so shit🤣.</t>
  </si>
  <si>
    <t>[["plant", 0.7633476433472364], ["tree", 0.6459879065402234]]</t>
  </si>
  <si>
    <t>Be like Bellerin no won plant tree oo. Bellerin the only person in the way of stopping him planting trees absolute dogshit today. Bellerin needs to plant a tree every time he gives the ball way at this rate fuck me. Bellerin needs to plant a tree at right back.</t>
  </si>
  <si>
    <t>[["shit", 0.6324555839856192], ["plant", 0.48086022002155965], ["tree", 0.41082033813935176], ["mustafi", 0.3162277919928096], ["counter", 0.3162277919928096]]</t>
  </si>
  <si>
    <t>Bellerin went from I dont want to plant trees to nobody can stop me from planting trees. Bellerin’s finished. Should stick to planting trees as a full-time job. Who passed it to ceballos on a counter 😂😭. And all the Southampton players are fucking shit too.</t>
  </si>
  <si>
    <t>[["aw", 0.8944271909999159], ["umbrella", 0.4472135954999579]]</t>
  </si>
  <si>
    <t>Lol is that Lacazette with the umbrella? Our playing out from the right has been awful. Need to find a way to get Pepe the ball. I love bellerin but fuck me he’s awful 😂😂. @FootyKB Ceballos and Bellerin have been awful. We aren’t even good. Southampton are awful.</t>
  </si>
  <si>
    <t>[["half", 0.5], ["gift", 0.5], ["bore", 0.5], ["loan", 0.5]]</t>
  </si>
  <si>
    <t>I've never been so bored watching an Arsenal team before. Not a bad first half from @Arsenal but should be 2 or 3 up. Eddie Nketiah was on Loan at Leeds for half a season, came back and has now scored more away goals than Lacazette who's been here all season.</t>
  </si>
  <si>
    <t>Arsenal Second Half Under 1.5 -128 [2]. Don’t choke in the second half. Arsenal actually playing well today to be fair. Hopefully Saints kick on in the second half. #SOUARS. @charles_watts Yes Charles!!!. Hopefully Arteta brings u on in the second half.</t>
  </si>
  <si>
    <t>Saka (disallowed)</t>
  </si>
  <si>
    <t>[["shane", 0.8557319954295753], ["long", 0.517419319312796]]</t>
  </si>
  <si>
    <t>Shane long coming on so you know what that means.. Fans of every other football club: lmao does shane long even score goals. arsenal fans: oh no, not shane long. Please, I'm still having nightmares. Shane long is the one face I do not want to see.</t>
  </si>
  <si>
    <t>Mustafi</t>
  </si>
  <si>
    <t>[["second", 0.7071067811865475], ["underway", 0.7071067811865475]]</t>
  </si>
  <si>
    <t>Back underway.. @Arsenal Laca ozil on for second half. Second half is underway #SOUARS Premier League Is Back. Second half underway. #Arsenal 1 - #Southampton 0. The Gunners need to see this one out. They need the points. 46' Second half underway at St Mary's. #SOUARS.</t>
  </si>
  <si>
    <t>Nketiah</t>
  </si>
  <si>
    <t>[["red", 0.5773502691896257], ["tackl", 0.5773502691896257], ["walker", 0.34862153318448036], ["peter", 0.341005682847968], ["kyle", 0.22805665631470887], ["loane", 0.2085704813950947]]</t>
  </si>
  <si>
    <t>@Arsenal Kyle Walker-Peters is on the pitch now. We mustn't lose to a Tottenham loanee. Valery tackling Saka? Not the first time he put a child down. Wow I would not have complained had it been a red for Saka there. Bad tackle. Saka lucky not to get away with a red there 😳.</t>
  </si>
  <si>
    <t>[["distribut", 0.7071067811865475], ["touch", 0.7071067811865475]]</t>
  </si>
  <si>
    <t>That distribution from Martinez is beautiful @Arsenal #SOUARS. Martinez’s distribution is superior #Arsenal. Martinez distribution is actually better than Leno's. What a pass, Aubameyang should've done a lot better. That touch from Aubameyang. Pepe doesn't touch the ball enough.</t>
  </si>
  <si>
    <t>[["willock", 1.0]]</t>
  </si>
  <si>
    <t>What is Willock coming to do in this game 🤦🏼‍♂️🤦🏼‍♂️🤦🏼‍♂️🤦🏼‍♂️🤦🏼‍♂️🤦🏼‍♂️🤦🏼‍♂️🤦🏼‍♂️. Why the fuck is willock on. He is so shit. Arsenal gone 5-3-2 since Pepe off for Willock. Ceballos sitting and Xhaka and Willock playing either side of him in the three.</t>
  </si>
  <si>
    <t>Long for Obafemi</t>
  </si>
  <si>
    <t>@Arsenal @Joewillock A stupid sub. Aaaaand he has been subbed. Not sure about that one :)) Why sub Pepe? Bad Sub from Arteta Again. What in the fuck even is that sub. Game after game Arteta is making questionable subs. @Arsenal @Joewillock WTF IS THIS SUBS???</t>
  </si>
  <si>
    <t>Walker-Peters for Valery</t>
  </si>
  <si>
    <t>[["pass", 0.7071067811865475], ["poor", 0.7071067811865475]]</t>
  </si>
  <si>
    <t>Bellerin is so so poor. We are not average. We are poor. Bellerin passing has been poor #SOUARS. @MoAmali Hector wasn’t passing to him , he’d rather pass the ball back to mustafi. Nketiah can't give final pass. As much as I like Ceballos, he has been really poor today.</t>
  </si>
  <si>
    <t>Saka</t>
  </si>
  <si>
    <t>[["cramp", 0.7071067811865475], ["kolasinac", 0.7071067811865475]]</t>
  </si>
  <si>
    <t>Kolasinac worries me even before he has come on. Tierney down for Arsenal going off injured maybe cramp. Kolasinac on #SOUARS. 🔄Looks like cramp for Tierney. Kolasinac coming on to replace him. Kolasinac on for Tierney, who I think (hope) only has cramp.</t>
  </si>
  <si>
    <t>Willock for Pepe</t>
  </si>
  <si>
    <t>[["chill", 0.5773502691896257], ["ff", 0.5773502691896257], ["umbrella", 0.5773502691896257]]</t>
  </si>
  <si>
    <t>Lmao Ozil chilling in the sun with a likkle umbrella ☂️☀️. Ozil in the stands with an umbrella, alone. 300k a week. sweet. As Arsenal fans, we are getting excited about Lacazette using an umbrella in the heat.. while on the subs bench.. I. Am. Done.</t>
  </si>
  <si>
    <t>Kolasinac for Tierney</t>
  </si>
  <si>
    <t>[["amn", 0.5000000000000001], ["conced", 0.5000000000000001], ["save", 0.4431370611512952], ["shane", 0.4016804902366939], ["long", 0.29774617338130355], ["great", 0.23158053682076415]]</t>
  </si>
  <si>
    <t>Won't be Arsenal if we were to concede then concede the way we scored. @Arsenal @kierantierney1 @seadk6 Great Save.. 😱😱😱. Thank you @emimartinezz1. Shane long ain’t the same man 😪. Great chance for Saints FC as Shane Long is denied.. Laca and AMN on for Nketiah and Ceballos.</t>
  </si>
  <si>
    <t>Lacazette for Nketiah</t>
  </si>
  <si>
    <t>[["pass", 0.6059411029215787], ["maitland", 0.5139180641501563], ["nile", 0.4856832541277862], ["xhaka", 0.3644658828891681]]</t>
  </si>
  <si>
    <t>Laca and Maitland Niles on for Nketiah and Ceballos. Xhaka’s been good but why does he have to ruin it with such a stupid pass every game ffs. Xhaka fam u HAD to pass that to auba. That was a bad pass by Xhaka, he is not feeling it on the ball today.</t>
  </si>
  <si>
    <t>Maitland-Niles for Ceballos</t>
  </si>
  <si>
    <t>[["stephen", 0.5], ["jack", 0.5], ["sent", 0.5], ["hell", 0.3806164820456717], ["bellerin", 0.24799013235500697], ["fuck", 0.20888271314238283]]</t>
  </si>
  <si>
    <t>Red card! Jack Stephens is sent off for Southampton.. @afc3mily getting bummed but stephens just got sent off. Stephens sent off. A few own him as bench fodder. Jack Stephens is sent off and #Saints are down to 10 men with less than five minutes of normal time remaining. #SOUARS.</t>
  </si>
  <si>
    <t>Stephens (red)</t>
  </si>
  <si>
    <t>[["thank", 0.6882472016116853], ["mccarthi", 0.22941573387056177], ["gift", 0.22941573387056177], ["lucki", 0.22941573387056177], ["alex", 0.22941573387056177], ["rebound", 0.22941573387056177], ["gol", 0.22941573387056177], ["gonna", 0.22941573387056177], ["keeper", 0.22941573387056177], ["free", 0.18536382222756242], ["goalscor", 0.13673903654405337], ["kick", 0.1351733418857323], ["opportun", 0.12170734470997918], ["deni", 0.10969377976565999], ["clear", 0.08419389382099897]]</t>
  </si>
  <si>
    <t>@sue_skyheart @Arsenal @Aubameyang7 no free kick only, red was for denying a clear goalscoring opportunity. McCarthy is so fucking shit, properly gifted the win to Arsenal. Thank you for not breaking my heart tonight @Arsenal. You don't know how much it means😭❤.</t>
  </si>
  <si>
    <t>Willock</t>
  </si>
  <si>
    <t>[["final", 0.4999999999999999], ["babi", 0.24999999999999994], ["wow", 0.24999999999999994], ["win", 0.24999999999999994], ["bad", 0.24999999999999994], ["happi", 0.24999999999999994], ["hate", 0.24999999999999994], ["gift", 0.24999999999999994], ["fuck", 0.24999999999999994], ["actual", 0.24999999999999994], ["lead", 0.19268843757699644], ["red", 0.18600556170394908], ["goal", 0.1728922990641488], ["card", 0.16703871112768554], ["doubl", 0.1592832885902847], ["joe", 0.12858940665595056], ["first", 0.12677940455840403]]</t>
  </si>
  <si>
    <t>@arsenal is winning 2-0 and all I can do is just.... Awww arsenal finally 😆 @bbellgam so happy for you lol. Arsenal win to top off the day🥺 wow what a day. @Arsenal You have to be really bad to lose to arsenal. Jack Stephens loves a red card against us fuck me 😂.</t>
  </si>
  <si>
    <t>Romeu for Højbjerg</t>
  </si>
  <si>
    <t>[["tree", 0.7163582149309895], ["vestergaard", 0.434469788972757], ["keeper", 0.434469788972757], ["plant", 0.3306099103790177]]</t>
  </si>
  <si>
    <t>Man’s finally gonna be able to plant his trees 😭. He's gonna plant 9000 trees by the end of the season btw. Bellerin, you can go and plant your tree now. 1 🌲 tree planted like that. 3000 trees to be planted but haters will tell you Arsenal is useless.</t>
  </si>
  <si>
    <t>Vestergaard for Ings</t>
  </si>
  <si>
    <t>[["ye", 0.5], ["rob", 0.5], ["motm", 0.5], ["mustafi", 0.4145182381437627], ["hold", 0.2795972643753706]]</t>
  </si>
  <si>
    <t>Rob holding man of the match you love to see it. Holding deserves more than motm after playing a full 90 alongside mustafi. Rob Holding was mental in the air today. Won almost every ball. Where are the people who didn’t want Rob Holding in the team hiding? I just want to talk.</t>
  </si>
  <si>
    <t>[["burnley", 0.44469880161364417], ["done", 0.3806637074573752], ["watford", 0.36820688366286963], ["first", 0.3583552425265312], ["well", 0.32731884865774274], ["arteta", 0.3262860990335411], ["away", 0.313770991432539], ["lad", 0.28511549672283476]]</t>
  </si>
  <si>
    <t>FT | Premier League. Burnley 1-0 Watford. Southampton 0-2 Arsenal. First away win for Arteta at Arsenal and an away goal to go with #SOUARS. Well done arsenal. You surprised me with it today lads. @Arsenal well done and @Joewillock top man scenes 🔥🔥🔥.</t>
  </si>
  <si>
    <t>[["vivo", 0.6534134088139422], ["onlin", 0.5347056108331874], ["direct", 0.3650796251008771], ["versu", 0.30754809098084557], ["southampton", 0.18419766775086885], ["ver", 0.15919511673111483]]</t>
  </si>
  <si>
    <t>🎥 ver en vivo. 2019–20 EPL Live Streaming Online Free;'][Southampton vs. Arsenal. Southampton v. Arsenal.. 📽️ en vivo.. Southampton Vs. Arsenal. Southampton VS. Arsenal. Southampton versus. Arsenal. #Southampton vs #Arsenal Live Stream.</t>
  </si>
  <si>
    <t>[["foul", 0.5773502691896256], ["crossbar", 0.48530481664972874], ["score", 0.4115845482351607], ["aubameyang", 0.40488454278644903], ["hit", 0.3127500092244707]]</t>
  </si>
  <si>
    <t>“ he needed fouling Pepe “ Smith wtf. Aubameyang hits the crossbar from 5 yards out 😶. Aubameyang has to score there. We look dangerous. If Aubameyang doesn't score tonight it will be the first time in 11 years without him scoring in 4 games. #SOUARS.</t>
  </si>
  <si>
    <t>[["mustafi", 0.7905384275333819], ["red", 0.3732476669473418], ["book", 0.351784166882523], ["yellow", 0.33463872107421083]]</t>
  </si>
  <si>
    <t>So mustafi gets booked for that but hjoberg didnt get book for stopping pepe in full flow. Mustafi red card don almost sure. He will find it hard to remember he's on a yellow. Mustafi booked but Hojberg got away with one. Makes sense. Mustafi on a yellow, 80 minutes to play 🤦🏾‍♂️.</t>
  </si>
  <si>
    <t>[["versu", 0.46685285690173267], ["vivo", 0.45538962949061396], ["onlin", 0.42493097722898054], ["southampton", 0.4001433030704994], ["stream", 0.28094487952105246], ["ver", 0.2796123532746781], ["direct", 0.2772626976736031]]</t>
  </si>
  <si>
    <t>[["injur", 0.7071067811865476], ["ff", 0.5862961637613292], ["saka", 0.3952933193955453]]</t>
  </si>
  <si>
    <t>If Saka is injured here I'm never watching football again. Arsenal players going down injured. Saka better not be Injured Ffs. No way Saka is going to be out injured... Arsenal football club are actually cursed ffs 😭. Saka now... FFS!! 15 minutes in and Saka gets injured ffs.</t>
  </si>
  <si>
    <t>[["gift", 0.6666666666666666], ["keeper", 0.3333333333333333], ["lead", 0.3333333333333333], ["final", 0.3333333333333333], ["goalkeep", 0.3333333333333333], ["ff", 0.28451380364501627], ["mccarthi", 0.17367500294099963]]</t>
  </si>
  <si>
    <t>Eddie Nketiah at this rate will be our leading striker. Surely you can win today Arsenal with gifts like that? Southampton keeper needs to be subbed off for that 😂😂😂. As much as I wanna be gassed. We had a 1-0 lead before and we messed it up. Please don’t lose the lead arsenal 🙏🙏.</t>
  </si>
  <si>
    <t>[["goalkeep", 0.7071067811865475], ["var", 0.6178602542041802], ["check", 0.3438730961775663]]</t>
  </si>
  <si>
    <t>What is VAR checking on our goal? Before I send lightening bolts to their VAR room #SOUARS. VAR still checked Nketiah’s goal, lmao for what ????? Var checking if nketiah coughed at the gk to get the ball😭😭. My fpl goalkeeper ffs 😭. Southampton goalkeeper 🤣🤣 #SOUARS.</t>
  </si>
  <si>
    <t>[["pass", 1.0]]</t>
  </si>
  <si>
    <t>Bellerin gotta be racist, why does he never pass to Pépé. Why is Bellerin not passing to Pepe? Bellerin gotta get it together.. very shit passing today. Please Bellerin can you open up your shape and pass the ball yo Pepe.. Please stop passing back to Mustafi.</t>
  </si>
  <si>
    <t>I will take that 1-0 at half time. #SOUARS. HALF-TIME at Southampton. Not a great half, but better from Arsenal to be fair, and they go into the half-time break with a 1-0 lead. Arsenal can’t believe we’re winning a game at half time. First half over. 1-0. Arsenal fans rn:.</t>
  </si>
  <si>
    <r>
      <rPr>
        <u/>
      </rPr>
      <t>The Guardian</t>
    </r>
    <r>
      <rPr>
        <u/>
      </rPr>
      <t xml:space="preserve">, </t>
    </r>
    <r>
      <rPr>
        <u/>
      </rPr>
      <t>BeSoccer</t>
    </r>
    <r>
      <rPr>
        <u/>
      </rPr>
      <t xml:space="preserve">, </t>
    </r>
    <r>
      <rPr>
        <u/>
      </rPr>
      <t>BBC</t>
    </r>
  </si>
  <si>
    <t>[["shane", 0.8414954442246769], ["long", 0.5402642106868767]]</t>
  </si>
  <si>
    <t>Shane long to come on and score 100% #SOUARS. Shane Long always fucking scores against us. Put your house on shane long to score. Shane Long coming on for the second half. 👀. Shane long gonna get his goal?? 2 subs already. Shane long 😭😭😭. Shane Long is on now. FFS.</t>
  </si>
  <si>
    <t>[["tackl", 0.7071067811865475], ["red", 0.6188753245834294], ["saka", 0.3420428812616263]]</t>
  </si>
  <si>
    <t>How is that not a red for Saka? Wow I would not have complained had it been a red for Saka there. Bad tackle. I already know what our fans are gonna do with that saka tackle. On another day, Saka sees red for that tackle. #SOUARS. Premier League. Saka very lucky not to get a Red.</t>
  </si>
  <si>
    <t>[["touch", 1.0]]</t>
  </si>
  <si>
    <t>That touch from Aubameyang was absolutely outrageous. That touch from Aubameyang. Why did Aubameyang pass that there extra touch and finish. What a ping from the Arsenal GK cracking First touch from Aubameyang. Pepe doesn't touch the ball enough.</t>
  </si>
  <si>
    <t>[["willock", 0.78942342530354], ["sub", 0.613849049508123]]</t>
  </si>
  <si>
    <t>Willock for ceballos I’m all for that sub plz Mikel. #SOUARS willock is the worst sub to come on now. Arsenal fans clapping for willock sub. 🤣. Willock isn’t a bad sub tbh. But for who.</t>
  </si>
  <si>
    <t>[["save", 0.5773502691896257], ["conced", 0.5773502691896257], ["emiliano", 0.5773502691896257]]</t>
  </si>
  <si>
    <t>What a save from Martinez 🤗🤗😍. #SOUARS. Won't be Arsenal if we were to concede then concede the way we scored. Great double save Martinez 👏👏👏. Come on Arsenal ffs. Arsenal Emiliano Martínez Saving our lives. A good save from this man 🔥 #AFC #SOUARS.</t>
  </si>
  <si>
    <t>[["jack", 0.5], ["willock", 0.5], ["rebound", 0.5], ["free", 0.4037982020932223], ["kick", 0.29486778729844526]]</t>
  </si>
  <si>
    <t>Jack Stephens sees red against Arsenal for the second time in his career. 𝓞𝓶𝓮𝓻🦋 Nah free kick but willock just scored a rebound. Auba not even allowed to take free kicks over lacazette😂. Willock paying back all of that £45 with that goal.</t>
  </si>
  <si>
    <t>[["keeper", 0.6324555320336759], ["gol", 0.31622776601683794], ["gonna", 0.31622776601683794], ["ff", 0.31622776601683794], ["win", 0.31622776601683794], ["wow", 0.31622776601683794], ["final", 0.31622776601683794]]</t>
  </si>
  <si>
    <t>Arsenal are gonna win away. I repeat, Arsenal are gonna win away. 👀. ⚽️⚽️. #SOUARS #COYG. Arsenal is going to win a Premier League game!! Wow 😅. Arsenal should go on and win this now. 2-0 to the Arsenal. and finally 3 points. The Southampton keeper is definitely an Arsenal fan.</t>
  </si>
  <si>
    <t>[["fantasi", 1.0]]</t>
  </si>
  <si>
    <t>Fantasy Premier League McCarthy assist imo. Fantasy Premier League McCarthy stormer with 2 assists. Fantasy Premier League Who tf is willock? Fantasy Premier League McCarthy robbed of 2 assists. Fantasy Premier League Ings blank 😣.</t>
  </si>
  <si>
    <t>[["tree", 0.6325236812364194], ["plant", 0.5520177910611509], ["final", 0.5433140445700774]]</t>
  </si>
  <si>
    <t>Arsenal Bellerin is finally gonna be planting some trees 🌲 😁😁. Good result for the lads since we have a poor away record at Southampton. Bellerin will finally get to plant his trees now that Arsenal have won. A win for Arsenal is a win for 3000 trees going to be planted.</t>
  </si>
  <si>
    <t>[["clean", 0.5098059313257756], ["sheet", 0.4899978697760415], ["arteta", 0.42895744635455313], ["first", 0.4130805670380698], ["away", 0.3812610055493313]]</t>
  </si>
  <si>
    <t>First clean sheet for Arsenal after very many years of playing football🤣. 3 points, away win and a clean sheet... where the fuck did this come from?!❤️❤️❤️. Arteta's first away win and we keep a clean sheet. We move on to the next challenge!.</t>
  </si>
  <si>
    <t>[["offsid", 0.777947183964151], ["xhaka", 0.5590473217408851], ["pass", 0.28681748729216383]]</t>
  </si>
  <si>
    <t>That ball from Xhaka was 👌 shame it was offside. Saka to Nketiah goal but it was offside my heart is on fire 😭😭😭😭😭. Saka with the most offside run I've seen since 1987. Obvious offside lol but watch Xhaka get praise for that. See that pass from Xhaka there? that’s why he starts.</t>
  </si>
  <si>
    <t>[["book", 0.8062810607150394], ["mustafi", 0.3609506845795408], ["tierney", 0.357723251920242], ["score", 0.30275324848694674]]</t>
  </si>
  <si>
    <t>Can we just talk about that ball from Tierney for a second. So mustafi gets booked for that but hjoberg didnt get book for stopping pepe in full flow.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</si>
  <si>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</si>
  <si>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</si>
  <si>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[["injur", 0.8075900700641491], ["saka", 0.46562443914898555], ["knee", 0.3619283912612761]]</t>
  </si>
  <si>
    <t>I swear to jesus if saka is injured i may actually finally give up. Southampton I’m on my knees. If Saka is injured here I'm never watching football again. Saka down. Stop the league! Another Arsenal player injured?. Better be taking the piss if Saka goes off injured.</t>
  </si>
  <si>
    <t>[["take", 0.7085784690832054], ["pass", 0.7056320238989305]]</t>
  </si>
  <si>
    <t>Our midfield has been fluent in its passes and we actually do pass forward. Xhaka is back. Why isn’t Pepe taking it. Must Ceballos touch the ball before passing it every time? The man just blew a very good chance away by taking a touch.</t>
  </si>
  <si>
    <t>[["main", 0.46440109325774953], ["mccarthi", 0.4366321500036398], ["tap", 0.42553287924407895], ["event", 0.3718253871049278], ["clearanc", 0.22701767297606543], ["caught", 0.21070615523536756], ["lead", 0.14320072236609463], ["keeper", 0.14320072236609463], ["gol", 0.14320072236609463], ["alex", 0.14320072236609463], ["final", 0.1432003025931612], ["net", 0.1286606474097865], ["empti", 0.11734812428308998], ["striker", 0.11458799089080511], ["sweet", 0.10695133598243575], ["slander", 0.10405449974504363], ["sky", 0.10082132283921115]]</t>
  </si>
  <si>
    <t>Southampton GL error leading to a goal from Arsenal striker. Giroud memories are coming back. That is so embarrassing... what is the Southampton keeper doing? Wow. McCarthy gets caught on the ball, Nketiah blocks his clearance and taps into an empty net. 1-0 to the Arsenal.</t>
  </si>
  <si>
    <t>[["bellerin", 0.8643319952057635], ["howler", 0.32884078687162804], ["lead", 0.2923910545248791], ["atroci", 0.14802692933032527], ["leagu", 0.1417336065461997], ["spade", 0.13153335377592776]]</t>
  </si>
  <si>
    <t>Bellerin is bottom 3 right backs in the premier league. Atrocious. Bellerin why the fuck are you so shit at passing? Bellerin has been so wasteful on the ball so far. When there’s a defensive howler in the Arsenal game but it isn’t made by an Arsenal player.</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</si>
  <si>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</si>
  <si>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</si>
  <si>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</si>
  <si>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</si>
  <si>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</si>
  <si>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r>
      <rPr>
        <u/>
      </rPr>
      <t>The Guardian</t>
    </r>
    <r>
      <rPr>
        <u/>
      </rPr>
      <t xml:space="preserve">, </t>
    </r>
    <r>
      <rPr>
        <u/>
      </rPr>
      <t>BeSoccer</t>
    </r>
    <r>
      <rPr>
        <u/>
      </rPr>
      <t xml:space="preserve">, </t>
    </r>
    <r>
      <rPr>
        <u/>
      </rPr>
      <t>BBC</t>
    </r>
  </si>
  <si>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</si>
  <si>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</si>
  <si>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</si>
  <si>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</si>
  <si>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</si>
  <si>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[["break", 0.516953639424684], ["nketiah", 0.40642815603124516], ["ahead", 0.3919128599692347], ["leagu", 0.373556148729082], ["half", 0.3716318253130554], ["let", 0.36922214048257346]]</t>
  </si>
  <si>
    <t>Half-time in the 6pm kick-offs: - Southampton 0-1 Arsenal. - Burnley 0-0 Watford. How's everyones bets looking at the break? 🤔. If Leeds started Nketiah and kept him for the season they would have won the league by now. Bamford is half the player.</t>
  </si>
  <si>
    <t>[["take", 0.5895709353118017], ["cohes", 0.5711418879033333], ["flaw", 0.5711418879033333]]</t>
  </si>
  <si>
    <t>Take obafemi off. Take falery off. Djenepo and kwp on please. Or kiss this game goodbye. Southampton keeper on the take? Seems as such. 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</si>
  <si>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</si>
  <si>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</si>
  <si>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0.7820567270572533], ["shane", 0.49025273071517267], ["second", 0.38475906186965037]]</t>
  </si>
  <si>
    <t>We need to see that Long and Ings link up now #saintsfc. Sol Campbell “a second goal for Arsenal kills the game as a contest”. Ffs shane long hattrick incoming. Shane Long coming on second half. Shane long ffs. Second half kicks off.. How does it end?. #SOUARS #SWFLive.</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</si>
  <si>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</si>
  <si>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</si>
  <si>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</si>
  <si>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</si>
  <si>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</si>
  <si>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</si>
  <si>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0.969577985799197], ["lead", 0.24478261673078858]]</t>
  </si>
  <si>
    <t>Arsenal are leading Southampton 🙆‍♂️. #SOUARS willock is the worst sub to come on now. Why’s he bringing on Willock when we need a fucking goal. Willock isn’t a bad sub tbh. But for who. Pepe for willock this arteta dude is frauding a living. Willock on again ffs.</t>
  </si>
  <si>
    <t>[["tierney", 0.4535475675295463], ["footbal", 0.4106586739324992], ["equalis", 0.40466425668429007], ["chelsea", 0.3954685102053358], ["injur", 0.3938808867725065], ["confus", 0.3877671999350383]]</t>
  </si>
  <si>
    <t>Southampton equaliser please! 🥺🤞🏼 #SOUARS. Liverpool want Chelsea to win or draw. Man u want Chelsea to lose.. Arsenal are just confuse. Come on Chelsea 💙💙. Watching Arsenal play football is 2020 summed up. If Tierney is injured again, I’m done with football.</t>
  </si>
  <si>
    <t>[["sead", 0.84852121274823], ["willock", 0.3497578902117981], ["see", 0.28353866450270604], ["take", 0.2780053875069448]]</t>
  </si>
  <si>
    <t>Herh the Southampton keeper take bride 😂😂. Is this willock a footballer at all ? 🥴🥴🥴🥴. A second sub now as KT leaves the pitch... ↩️ Kieran Tierney. 🔛 Sead Kolašinac. #SOUARS 🔴⚪️ 0-1 🟡🟡 (70). Ozil taking some inspiration from niran... Happy to see arsenal winning cl.</t>
  </si>
  <si>
    <t>[["half", 0.7676311281126608], ["lead", 0.6242188961743337], ["six", 0.1452350536591637]]</t>
  </si>
  <si>
    <t>Oyo Redmond wanted to score right in the first half naye waaaa.😂. Southampton with six shots to Arsenal's one in the second half. Arsenal better find that second goal... This 1-0 lead odikwa risky. Arsenal are leading 0-1. at the end of this game the score will be 1-1.</t>
  </si>
  <si>
    <t>[["deni", 0.6077942473026063], ["coast", 0.35247394440849333], ["save", 0.35247394440849333], ["brilliant", 0.32381901378344446], ["cool", 0.3143467645765857], ["danger", 0.30705695390702453], ["south", 0.2900927006010049]]</t>
  </si>
  <si>
    <t>North London are saved #SOUARS. Mesut Ozil is trying his best to keep cool down on the south coast! ☀☂. Good save #SOUARS 1-0. Ings is so underrated. Brilliant save from Martinez tho. Brilliant save from Martinez to deny Long. Arsenal living dangerously now. 15 minutes to go.</t>
  </si>
  <si>
    <t>[["final", 0.8999610973152877], ["conced", 0.23852352974696334], ["want", 0.22516374277006626], ["man", 0.20537812396906846], ["hear", 0.2007427812222252]]</t>
  </si>
  <si>
    <t>Won't be Arsenal if we were to concede then concede the way we scored. Liverpool want Chelsea to win,Man United want man city to there is Arsenal 😂😂😂 #SOUARS. Looks like bellerin will finally be planting some trees. Things are finally turning around for my good. #Arsenal 🎵 🎶.</t>
  </si>
  <si>
    <t>[["penalti", 0.5830470104759525], ["wonder", 0.5750121369896835], ["pass", 0.5739488007563148]]</t>
  </si>
  <si>
    <t>What a pass by xhaka😷. Alan Smith on Martinez’s brilliant pass to Aubameyang: “Ederson at Man City would’ve been pleased with that.” #afc. Arsenal never hold ball since 2nd half... mini pep is doing wonders. Penalty fc fans wondering how arsenal is taking the lead.</t>
  </si>
  <si>
    <t>[["card", 0.742900272818706], ["red", 0.5096844439344046], ["sent", 0.33474565727811195], ["var", 0.27616353341926564]]</t>
  </si>
  <si>
    <t>Red card Southampton. It will go to VAR. Hasenhuttl screams 'he played for the ball' at the fourth official. A red card and it’s not a Arsenal player 😍. People that can still score this Arsenal team even if they have two player sent off 🙄.</t>
  </si>
  <si>
    <t>[["willock", 0.918635293903849], ["goal", 0.30483470789092143], ["gol", 0.2050641612070779], ["shot", 0.1453743011941364]]</t>
  </si>
  <si>
    <t>Willock scores after I slagged him off so much nahhh. Willock does score a lot of goals to be fair to him. Eddie Willock as our goal scorers 🤟👏 love it 💪. Willock! 2-0!. Willock gets a goal as he tends to do at times.. Reacted well to Lacazette’s shot to secure the deal.</t>
  </si>
  <si>
    <t>[["save", 1.0]]</t>
  </si>
  <si>
    <t>Willock saving me from ending it all! Mc Arthur is out there saving arsenal fan lives. Black Excellence saving Arsenal once again. Finally bellerin can save the planet 😂. 3000 trees. Arsenal saving the earth. Bellerin time to save the world. God save Arsenal.</t>
  </si>
  <si>
    <t>[["cross", 1.0]]</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</si>
  <si>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</si>
  <si>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</si>
  <si>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[["lad", 0.7071067811865475], ["boy", 0.7071067811865475]]</t>
  </si>
  <si>
    <t>It’s now or never lads, LET’S GO! #MUFC. Good luck lads! Let’s do this, with you all the way 💙🦊💙. Here we goooooooooo, come on boys #LEIMUN. Hope the lads will win over leicester city. Here we go!! Do us proud lads 👹⚽️♥️#MUFC #LEIMUN. All the best lads @ManUtd #LEIMUN.</t>
  </si>
  <si>
    <t>[["dive", 0.7071067811865475], ["we", 0.5206709372968986], ["morgan", 0.4784368036160775]]</t>
  </si>
  <si>
    <t>How is Wes Morgan still playing in the Prem. Martial isn't it too early for a dive? Martial vs Wes Morgan. Lmao 😂 😂 😂. Wes Morgan has never been fit since they won premier league. We can eat from Wes Morgan, if we are serious. Martial should've got a yellow for that pathetic dive.</t>
  </si>
  <si>
    <t>[["rashford", 1.0]]</t>
  </si>
  <si>
    <t>Get Rashford off already. Come on Rashford. Rashford today is not the day…. Rashford really. What is Rashford doing ffs. Rashford will not kill me. Rashford don start. Take Rashford off now! Rashford better than that man. Interesting plays from Rashford today.</t>
  </si>
  <si>
    <t>[["pogba", 0.7071067811865475], ["brandon", 0.5982735391773742], ["william", 0.3769201139766605]]</t>
  </si>
  <si>
    <t>Brandon Williams on the pitch almost guarantees this. Brandon Williams is like paper wtf. Brandon Williams doing the work. Not even going to a foul on Brandon Williams ? #LEIMUN. Brandon williams is not a Manchester United quality left back. Pogba what tf are you doing?</t>
  </si>
  <si>
    <t>[["wtf", 0.35355339059327373], ["yellow", 0.35355339059327373], ["stupid", 0.35355339059327373], ["unnecessari", 0.35355339059327373], ["card", 0.35355339059327373], ["book", 0.35355339059327373], ["tackl", 0.35355339059327373], ["poor", 0.35355339059327373]]</t>
  </si>
  <si>
    <t>Pogba has been so so poor these last few games man ffs. Maguire getting booked in the first 10 minutes... stupid challenge what is he thinking. Maguire own goal then red card is gonna be unbelievably funny. Maguire with a stupid tackle smh get a yellow 10 mins in perfect 🤦🏽‍♂️.</t>
  </si>
  <si>
    <t>[["sent", 0.5], ["ball", 0.5], ["greenwood", 0.5], ["pass", 0.5]]</t>
  </si>
  <si>
    <t>Maguire is going to get sent off this match! What a ball by Rashford... but headed over by Greenwood. That was a top top pass from Rashford. Great run by Greenwood. That pass is the precision we need from Rashford. Good pass rashford... you take my note very quick... keep passing.</t>
  </si>
  <si>
    <t>[["ndidi", 0.5], ["ball", 0.5], ["pass", 0.5], ["cost", 0.3995374074462448], ["almost", 0.3006158013996161]]</t>
  </si>
  <si>
    <t>Up the Vardy, up the Ndidi, up the damn Leicester City. @ChimpInATopHat A great pass. Ndidi should do better. I can’t do this. Ndidi uaaaa😂😂 fuck Man U😂😂😭😭. Why the fuck are they passing the ball at the back. #LEIMUN. Matic is gonna cost us I can already see.</t>
  </si>
  <si>
    <t>[["link", 0.8029419662239291], ["live", 0.5960572110766306]]</t>
  </si>
  <si>
    <t>English Premier League. Leicester City vs Manchester United - live stream online free. 🕹Link 1:. 🕹Link 2:. 🕹Link 3:. 🕹Link 4:. 🖥WATCH|| ♠. Leicester vs Manchester United.. 🛑Live stream links ↓↓↓↓. Live 1 ••. Live 2 ••. Live 3 ••. Live 4 ••. #️⃣ #LEIMUN. RTWET 🔁 + LIKE💗.</t>
  </si>
  <si>
    <t>[["fuck", 0.7776088740627288], ["bad", 0.29375554645843643], ["harri", 0.29375554645843643], ["cost", 0.29375554645843643], ["away", 0.22709973292550917], ["gea", 0.22395346543091688], ["give", 0.1863277552600713]]</t>
  </si>
  <si>
    <t>No way Iheanacho just turned Matic like that, we’re fucked. Ei matic go cost we o! what sort of sluggishness is this. Why the fuck is maguire the captain of this team? Who did this to us for God’s sake?? 😒. De gea why tf will you drop that again? 🤦‍♂️.</t>
  </si>
  <si>
    <t>[["shit", 0.4472135954999579], ["ball", 0.4472135954999579], ["80m", 0.4472135954999579], ["mad", 0.4472135954999579], ["touch", 0.4472135954999579]]</t>
  </si>
  <si>
    <t>We can't win this match, these guys are moving mad #LEIMUN. He doesn’t know what to do with the ball🙆🏾‍♂️. Greenwood’s first touch is out of this World. Maguire for £80m was the biggest robbery ever, he’s so shit #LEIMUN. Harry Maguire. The man, the myth, the legend. £80m..</t>
  </si>
  <si>
    <r>
      <rPr>
        <color rgb="FF000000"/>
        <u/>
      </rPr>
      <t>The Guardian</t>
    </r>
    <r>
      <rPr/>
      <t xml:space="preserve">, </t>
    </r>
    <r>
      <rPr>
        <color rgb="FF000000"/>
        <u/>
      </rPr>
      <t>BeSoccer (live)</t>
    </r>
    <r>
      <rPr/>
      <t xml:space="preserve">, </t>
    </r>
    <r>
      <rPr>
        <color rgb="FF000000"/>
        <u/>
      </rPr>
      <t>BeSoccer</t>
    </r>
    <r>
      <rPr/>
      <t xml:space="preserve">, </t>
    </r>
    <r>
      <rPr>
        <color rgb="FF000000"/>
        <u/>
      </rPr>
      <t>BBC</t>
    </r>
  </si>
  <si>
    <t>[["offsid", 0.5140248590884873], ["vardi", 0.38774357673878873], ["iheanacho", 0.19387178836939437], ["fumbl", 0.19387178836939437], ["lmao", 0.19387178836939437], ["david", 0.19387178836939437], ["shit", 0.19387178836939437], ["kill", 0.19387178836939437], ["ball", 0.19387178836939437], ["wtf", 0.19387178836939437], ["spill", 0.19387178836939437], ["mad", 0.19387178836939437], ["degea", 0.19387178836939437], ["mistak", 0.19387178836939437], ["almost", 0.19387178836939437], ["pass", 0.19387178836939437], ["net", 0.14710305249607483], ["stiff", 0.12667529755663123], ["matic", 0.11384514060134614], ["nervou", 0.09262247716373119]]</t>
  </si>
  <si>
    <t>David de gea you can’t say anything to vardy you fuckin fumbled it. Iheanacho should have given vardy but he was offside anyways. Iheanacho gotta get subbed off for that wtf are you doing dog. If iheanacho had passed the ball we would be having a very different conversation.</t>
  </si>
  <si>
    <t>[["wrong", 0.35355339059327373], ["done", 0.35355339059327373], ["cost", 0.35355339059327373], ["poor", 0.35355339059327373], ["live", 0.35355339059327373], ["jog", 0.35355339059327373], ["bro", 0.35355339059327373], ["heart", 0.2922811631774034], ["attack", 0.19892642270865896]]</t>
  </si>
  <si>
    <t>Maguire was poor there if he decided to pass to the right we would have been finished. De Gea will give me a heart attack one day. Sums up pogba , gives the ball away and jogs back. De Gea what is wrong with you man bro please what is wrong with you.</t>
  </si>
  <si>
    <t>[["rashford", 0.7593288337586408], ["yellow", 0.422922070325837], ["harri", 0.422922070325837], ["play", 0.2563075634571829]]</t>
  </si>
  <si>
    <t>Why is rashford playing as lb ? 😭😭. When last did Rashford have a good game for us ?? Rashford has been lingarding for some games now. Ole and Rashford are the sh****** of them all. Maguire forgets he is on a yellow 😂. Harry Maguire is nervous..I don't feel him today.</t>
  </si>
  <si>
    <t>[["tieleman", 0.5773502691896257], ["auba", 0.5773502691896257], ["aubameyang", 0.5773502691896257]]</t>
  </si>
  <si>
    <t>Aubameyang for the golden vardy no see goal score o. Once vardy hears that auba is on 22 goals, goodbye maguire. Tierney's long throw, lovely touch by Auba, who then finishes with an overhead kick. 22 league goals for Auba, now just one behind Vardy.</t>
  </si>
  <si>
    <t>[["laca", 0.5461877856839013], ["boot", 0.49422066732047176], ["golden", 0.4911583469206211], ["auba", 0.4649605499536786]]</t>
  </si>
  <si>
    <t>Auba one behind Vardy in Golden Boot race. Auba going for the golden boot now! Just 1 off Vardy against a down and out Watford. Tierney with a goal and an assist though 😍😍😍. Laca telling Auba he needs two more goals to equal Vardy for the Golden Boot 😭😂😂. Vardy golden boot bet rn.</t>
  </si>
  <si>
    <t>[["pogba", 0.45899655139373124], ["lindelof", 0.3353675478055946], ["ff", 0.3353675478055946], ["poor", 0.3353675478055946], ["chanc", 0.3353675478055946], ["wast", 0.3353675478055946], ["miss", 0.3353675478055946], ["pass", 0.2836334457539206], ["ball", 0.18451526097207557]]</t>
  </si>
  <si>
    <t>Rashford man you have to do better then that ffs. Pogba is the best passer of the ball on this man u team. Rashford can't miss chances like that one earlier in these games. Rashford how can you waste such a god/good pass from Pogba #leimun.</t>
  </si>
  <si>
    <t>[["marcu", 0.7071067811865475], ["shit", 0.7071067811865475]]</t>
  </si>
  <si>
    <t>This Marcus is high #LEIMUN. Rashford is soooo shit its unreal fucking sub him now. Marcus what is that mate 🙈 #LEIMUN. Leicester are playing shit. Marcus Rashford who has been turning up for the past couple of games #LEIMUN #MUFC. Marcus Rashford... what the absolute fuck?!</t>
  </si>
  <si>
    <t>[["aubameyang", 1.0]]</t>
  </si>
  <si>
    <t>Jamie Vardy coming out in the second half when he hears Aubameyang is one goal behind him. Golden Boot EPL (as now): Vardy (23) Aubameyang (22) Ings (21) UPDATE: Jamie Vardy: 23. Pierre-Emerick Aubameyang: 22. Danny Ings: 21.</t>
  </si>
  <si>
    <t>Maguire</t>
  </si>
  <si>
    <t>[["nice", 1.0]]</t>
  </si>
  <si>
    <t>Pogba that was NICE 🥺. Nice one there Leicester.. Nice shoot Martial. Nice one Martial. Keep it out like that. Kai.. Should've scored that!. Nice one Pogba. Nice ball, Martial... Nice footwork Pogba. Nice Martial. Nice play! #LEIMUN. Chelsea nice. Leicester just get the job done.</t>
  </si>
  <si>
    <t>Bruno (disallowed)</t>
  </si>
  <si>
    <t>[["mount", 0.7071067811865475], ["second", 0.5330685947333379], ["half", 0.46458354825480463]]</t>
  </si>
  <si>
    <t>Mount let’s gooo, leicester it’s up to you to stop these red goats. Good half, we still have barnes, gray perez on the bench. go all out second half now. Need a vardy and iheanacho masterclass the second half please. Leicester have nothing to lose the come in hard second half.</t>
  </si>
  <si>
    <t>[["2nd", 0.6324555320336759], ["win", 0.31622776601683794], ["giroud", 0.31622776601683794], ["fuck", 0.31622776601683794], ["abeg", 0.31622776601683794], ["job", 0.31622776601683794], ["lord", 0.2319942092541664], ["work", 0.2148922680613103]]</t>
  </si>
  <si>
    <t>Chelsea is leading by two goals... Leicester for do the lord's work 💔😂. Leicester a come out mad 2nd half they have to win. Leicester in the 2nd half is like when u were in pe and your playing 2 on 2 first goal wins. They need to go all out but need to defend incase they mess up.</t>
  </si>
  <si>
    <t>[["fuck", 0.7071067811865475], ["king", 0.46188870099834256], ["power", 0.4529987865284157], ["stadium", 0.2853960884347341]]</t>
  </si>
  <si>
    <t>I'm fucking nervous #LEIMUN. Vardy give me that goal please and let us have a fucking day. Ah to the king power stadium😂. FUCK MANCHESTER UNITED. @UnitedStandMUFC What the fuck is lingard gonna do. An even opening 10 at the King Power... #MUFC #LEIMUN. What fucking pressure???</t>
  </si>
  <si>
    <t>Ayoze for Iheanacho</t>
  </si>
  <si>
    <t>[["find", 0.5119337511627715], ["auba", 0.4877743683512015], ["golden", 0.4451385883472111], ["boot", 0.4391351556619698], ["aubameyang", 0.3301695810125299]]</t>
  </si>
  <si>
    <t>Vardy you just gonna let aubameyang try and take the golden boot away from you? I fear the rage vardy is coming back with in the second half when he finds out auba is only one goal behind him and Chelsea are already winning 2-0…… united please don't fuck up 🙏🏾.</t>
  </si>
  <si>
    <t>Lindelöf</t>
  </si>
  <si>
    <t>[["2nd", 1.0]]</t>
  </si>
  <si>
    <t>After Leicester Man Utd hear scores. Them go come all out for the 2nd half. Pls and pls, it's 2nd half of the game, let's get the f**king point and move on to the champions league @ManUtd #LEIMUN #MUFC. Maguire skinned less than a minute into the 2nd half.</t>
  </si>
  <si>
    <t>Evans</t>
  </si>
  <si>
    <t>[["left", 0.5019343123856539], ["shoot", 0.3819668621815389], ["better", 0.3819668621815389], ["auba", 0.3819668621815389], ["foot", 0.30875214411341545], ["pass", 0.29371034327622525], ["matic", 0.24419852181651847], ["use", 0.20373618047067898], ["leg", 0.16622542857001568]]</t>
  </si>
  <si>
    <t>Martial shoot, not every goal should be a finesse 😂. Martial needs to be better in the box today man, he’s better than this. Am i blind or did matic make a forward pass. Martial do you not have a left foot or what. @_majesticmaya loooool don’t want auba or vardy to win it tbh.</t>
  </si>
  <si>
    <t>Bruno (penalty)</t>
  </si>
  <si>
    <t>[["lindelof", 0.5], ["bulli", 0.5], ["brandon", 0.42002138286754875], ["bodi", 0.3561275739971696], ["iheanacho", 0.2743606384034143], ["william", 0.27126009277818963], ["pogba", 0.21885929528754638]]</t>
  </si>
  <si>
    <t>Lindelof has been top in this match.. Brandon Williams is not Manchester United quality #LEIMUN. Iheanacho has bodied Pogba on every encounter, again I ask, how? Pogba yane?? Na Iheanacho dey body you like that?... haba. Iheanacho bullying pogba. You love to see it.#LEIMUN.</t>
  </si>
  <si>
    <t>Gray for Choudhury</t>
  </si>
  <si>
    <t>[["boot", 0.5897061341710066], ["golden", 0.5895681437981902], ["aubameyang", 0.5519565917166345]]</t>
  </si>
  <si>
    <t>Aubameyang closing in Vardy for the Golden boot be like. Someone tell Vardy that Aubameyang is coming for his golden boot. @copo2496 Just don’t let vardy score so my man @Aubameyang7 can win golden boot 😂. The race to the golden boot is heatin up btw Aubameyang and Vardy 🔥🔥.</t>
  </si>
  <si>
    <t>Barnes for Albrighton</t>
  </si>
  <si>
    <t>[["ayoz", 0.7528743306157175], ["perez", 0.6581642973452262]]</t>
  </si>
  <si>
    <t>Ayoze Perez on, man Rodgers is going for it. Ayoze Perez will come on now and score. God. Gg ayoze perez ganti iheanacho 🤡 this doesn't look good. I had a bad dream about Ayoze Perez and Vardy the other day. Leicester need a goal and they bring on Ayoze Perez 🤣🤣.</t>
  </si>
  <si>
    <t>Praet for Tielemans</t>
  </si>
  <si>
    <t>[["ighalo", 0.7071067811865475], ["almost", 0.7071067811865475]]</t>
  </si>
  <si>
    <t>Why will Ighalo come on? 🤷🏾‍♂️. Where is Ighalo in all this 🤦🏾‍♀️. Nope. Ighalo will come and almost score. Vardy almost breaking red hearts 😅. Dream almost come true for Vardy 😂. #LIEMUN. Oh boy. Vardy almost broke twitter. Did you see that near post? Vardy almost scored!</t>
  </si>
  <si>
    <t>Lingard for Greenwood</t>
  </si>
  <si>
    <t>[["gea", 0.47880583082152217], ["boot", 0.4025513794171866], ["golden", 0.39757152599386064], ["corner", 0.3260247294627049], ["ff", 0.3260247294627049], ["brandon", 0.2835940057402404], ["ball", 0.2456724215676925], ["aubameyang", 0.22092490368231177], ["william", 0.16083085565100497], ["pick", 0.1503167341645058]]</t>
  </si>
  <si>
    <t>Vardy to score the winner and win the golden boot. De gea why the fuck don’t you pick up the ball????!!!! 😡😡. Why did De gea let that ball roll out for a corner? Just gave away a silly corner fuck you de gea. Brandon Williams should just go and play in league 2 ah. What is this?🤮.</t>
  </si>
  <si>
    <t>Matic</t>
  </si>
  <si>
    <t>[["yellow", 0.7071067811865475], ["mark", 0.4848814793872251], ["morgan", 0.3241604865554718], ["we", 0.3109500714781921], ["brandon", 0.2512369060291161]]</t>
  </si>
  <si>
    <t>No way maguire just let williams mark wes morgan. How can Brandon be marking Wes Morgan for a corner kick... How. United has no game plan. 2 cb on yellows. The pressure is too much. #LEIMUN. Both Lindelof and Maguire on a yellow.. lord help us 😶.</t>
  </si>
  <si>
    <t>Mctominay for Bruno</t>
  </si>
  <si>
    <t>[["daniel", 1.0]]</t>
  </si>
  <si>
    <t>We need Daniel James. WHAT A FREEKICK BY DANIEL JAMES!!!!!! Fresh Daniel James is better than fatigued Rashford. If this Ole puts in Daniel James, it shall never be well with him! Oh great... Daniel James is warming up.... 🤮. Daniel James. For what???? Better sit down.</t>
  </si>
  <si>
    <t>Hirst for Thomas</t>
  </si>
  <si>
    <t>[["poor", 0.408248290463863], ["ndidi", 0.408248290463863], ["lingard", 0.408248290463863], ["mata", 0.408248290463863], ["tire", 0.408248290463863], ["jonni", 0.31740685037956257], ["evan", 0.25674804380713906]]</t>
  </si>
  <si>
    <t>Be lying to yourselves that we don't need a Ndidi or a Ndidi kind of dmf. It's no surprise we've been useless since Fernandes has been poor. He don tire but we need on for when we get our penalty 😈. Jonny evans, after all these years, finally coming through for united.</t>
  </si>
  <si>
    <t>Pogba</t>
  </si>
  <si>
    <t>[["pen", 0.35355339059327373], ["choudhuri", 0.35355339059327373], ["foul", 0.35355339059327373], ["johnni", 0.35355339059327373], ["kill", 0.35355339059327373], ["miss", 0.35355339059327373], ["pleas", 0.35355339059327373], ["we", 0.2587528655957491], ["morgan", 0.24092935592407203]]</t>
  </si>
  <si>
    <t>This Fernandes needs to be topped by a pen miss. @MusteeJr guy him and This fernandes don kill us today. Two fouls on martial just give us two penalties ref 😂. Wes morgan is a fucking idiot... quality from evans to get a touch but thats been given because of wes morgan.</t>
  </si>
  <si>
    <t>Williams</t>
  </si>
  <si>
    <t>[["rodger", 0.32353748710331276], ["brendan", 0.3166225011413558], ["gol", 0.24474463115242376], ["thank", 0.24474463115242376], ["convert", 0.24474463115242376], ["varchest", 0.24474463115242376], ["anoth", 0.24474463115242376], ["award", 0.24474463115242376], ["rashford", 0.24474463115242376], ["foul", 0.24474463115242376], ["lead", 0.24474463115242376], ["fuck", 0.24474463115242376], ["surpris", 0.24474463115242376], ["evan", 0.24474463115242376], ["martial", 0.24474463115242376], ["bottl", 0.12796303371168735]]</t>
  </si>
  <si>
    <t>If you want your team to absolutely bottle it, brendan rodgers is your guy. Evans is doing the lord’s work for Manchester United,don’t be surprised. Martial is one on one with the keeper and gets fouled. How was that not a red.</t>
  </si>
  <si>
    <t>Evans (red)</t>
  </si>
  <si>
    <t>[["foul", 0.6030226891555273], ["score", 0.30151134457776363], ["fernandez", 0.30151134457776363], ["bring", 0.30151134457776363], ["love", 0.30151134457776363], ["pen", 0.30151134457776363], ["penchest", 0.30151134457776363], ["bottl", 0.30151134457776363]]</t>
  </si>
  <si>
    <t>Bruno fernandez would be no better than lingard without penalties. Leicester have 5 wins in 18 games in 2020 how have they bottled top 4 like this. Leicester need a goal and they bring on barnes 😹😹😹😹. So evans got the ball, morgan fouled martial, so how was it a pen??</t>
  </si>
  <si>
    <t>Ighalo for Rashford</t>
  </si>
  <si>
    <t>[["red", 0.4472135954999579], ["fuck", 0.4472135954999579], ["barn", 0.4472135954999579], ["vardi", 0.4472135954999579], ["champion", 0.38186215470192886], ["leagu", 0.23276875822670048]]</t>
  </si>
  <si>
    <t>And If De Gea don't fucks we are into the Champions league 🤞. Once a red. always a red. 🤩🤩. Vardy we are coming for youuuuuu. Lets go we in champions league. Fucking VAR For Manchester divided. Fucking Leicester city doing shit again😬. Barnes should be fucking scoring that.</t>
  </si>
  <si>
    <t>Fosu-Mensah for Martial</t>
  </si>
  <si>
    <t>[["love", 0.408248290463863], ["johnni", 0.408248290463863], ["varchest", 0.408248290463863], ["fuck", 0.408248290463863], ["save", 0.3354107713824356], ["jess", 0.33326445989311565], ["lingard", 0.23579963197345444], ["gea", 0.2327365057469631]]</t>
  </si>
  <si>
    <t>Only 1-0 up and we’re bringing on jesse lingard???????? fucking hell. Loving the faith we have in our youth players with Jesse Lingard coming on 👏🏽👏🏽. I'd pay top dollar for Jesse Lingard to just score 2 own goals and call it a day for his career.</t>
  </si>
  <si>
    <t>Lingard</t>
  </si>
  <si>
    <t>[["greenwood", 0.4156320360920231], ["lingard", 0.40772485824386673], ["rashford", 0.3823651248754097], ["sub", 0.25407275145256936], ["ole", 0.25407275145256936], ["lingardinho", 0.25407275145256936], ["incom", 0.25407275145256936], ["bring", 0.20234622089200197], ["take", 0.19609069477531835], ["bet", 0.19466267289287603], ["we", 0.1862839391617564], ["pitch", 0.1835034604250584], ["morgan", 0.17277516326445225], ["guy", 0.16327708600070084], ["still", 0.12008542777640677]]</t>
  </si>
  <si>
    <t>😂😂😂 lingard into this game?🤣 I swear ole wants united to lose. How rashford is still on the pitch is beyond me.. never seen a performance this bad. How you take off greenwood before bruno or rashford loool and brings on lingard nah i am done.</t>
  </si>
  <si>
    <t>[["took", 0.3162277660168379], ["brought", 0.3162277660168379], ["fuck", 0.3162277660168379], ["substitut", 0.3162277660168379], ["wtf", 0.3162277660168379], ["without", 0.3162277660168379], ["ff", 0.3162277660168379], ["pen", 0.3162277660168379], ["laugh", 0.27124472963526647], ["bruno", 0.22356668005478053], ["fernand", 0.16953497766098832], ["iheanacho", 0.16256167028266894], ["fourth", 0.14586236978320202]]</t>
  </si>
  <si>
    <t>@tomiwale_ He brought him in to press. Lingard is good at that. Why did he substitute greenwood? Martial or Rashford should have been substituted. @carlo_george My point is United get pens for something similar to Leicester pen appeal in the first half.</t>
  </si>
  <si>
    <t>[["yellow", 0.6324555320336759], ["pen", 0.31622776601683794], ["maguir", 0.31622776601683794], ["wtf", 0.31622776601683794], ["ball", 0.27694390179306333], ["kick", 0.25240339697621583], ["brendan", 0.24492264268746028], ["rodger", 0.20003224514810267], ["free", 0.19050597154647614], ["pogba", 0.15265017281232945]]</t>
  </si>
  <si>
    <t>Brendan rodgers this is what you call karma my friend. 😉. Pogba and joking around in possession. Wtf is your problem?! Jamie Vardy should score this free kick and it is game on! One of those yellow card unless it's a second yellow tackles by Maguire...</t>
  </si>
  <si>
    <t>[["freekick", 0.5], ["mctominay", 0.5], ["ing", 0.44083637066612474], ["demarai", 0.3941191720441913], ["gray", 0.3076850308793087], ["aubameyang", 0.23593069808297332]]</t>
  </si>
  <si>
    <t>83.' Maguire concedes a freekick in a dangerous area. Man are relying Demarai Gray free kicks to save their fuck Leicester. Golden Boot race -. Vardy 23. Ings 22. Aubameyang 22. Mctominay comes on for bruno, we're all good boys.</t>
  </si>
  <si>
    <t>[["johnni", 0.7071067811865476], ["boot", 0.5015141017484634], ["golden", 0.49848129929560236]]</t>
  </si>
  <si>
    <t>So vardy wan win this golden boot. Johnny Evans Johnny Sins #LEIMUN. 1 goal away from tying Vardy for the golden boot come on Ingsy!!!!! Vardy's gonna hear the news that Aubameyang is closing in on his golden boot at half time... Auba hunting down Vardy for the Golden Boot like:.</t>
  </si>
  <si>
    <t>[["spit", 0.7071067811865476], ["brandon", 0.5791737538737899], ["william", 0.4056571986588463]]</t>
  </si>
  <si>
    <t>Pogba, why you dey spit on me? This Brandon Williams kid is ass. Brandon Williams has had a good game. Love you Brandon Williams. Just smash them all. Brandon Williams has been outstanding today #mufc. I never want to see Brandon Williams play football for my club ever again.</t>
  </si>
  <si>
    <t>[["evan", 0.5983458374937494], ["sent", 0.27758400312353093], ["johnni", 0.27758400312353093], ["card", 0.27758400312353093], ["men", 0.27758400312353093], ["champion", 0.27758400312353093], ["agent", 0.23000652697966595], ["jonni", 0.22295538739861118], ["award", 0.21331982926632598], ["brendan", 0.21014657457309208], ["rodger", 0.1813595764917868], ["histori", 0.1776162414642027]]</t>
  </si>
  <si>
    <t>Jonny evans completes his double agent performance w a red card. Leicester are down to 10 men and that should do it. Jonny Evans gets sent off. He shouldn’t even have been eligible for today, as he should have been sent off last Sunday too.</t>
  </si>
  <si>
    <t>[["mctominay", 0.5773502691896257], ["lingard", 0.5773502691896257], ["ighalo", 0.5773502691896257]]</t>
  </si>
  <si>
    <t>@OlukorodeOre It should have been lingard 😃😃. Hopefully McTominay isn't injured. Need him in Europa. @Tjkxy_ Mctominay??? He did us a favour. Ighalo is just coming in. Ole fuck you!!!! But... congrats!🙄♥️. They no do ighalo well o. This na FK. #LEIMUN.</t>
  </si>
  <si>
    <t>[["lingard", 0.5205058727040446], ["bet", 0.44862708856189754], ["assist", 0.31430942320893196], ["3rd", 0.28224899152364746], ["spoil", 0.28224899152364746], ["end", 0.28224899152364746], ["finish", 0.2307470145183585], ["wtf", 0.22900825006757308], ["whole", 0.19119358268490752], ["penchest", 0.16254325118866206], ["guy", 0.14614794164742118]]</t>
  </si>
  <si>
    <t>I just remembered that guy that bet on lingard not to score or assist all through the pl season😂😭. Someone bet on lingard not scoring in the whole season and lingard scored in the final minute of the season😭😭😂😂😂.</t>
  </si>
  <si>
    <t>[["where", 0.24253562503633297], ["seal", 0.24253562503633297], ["omg", 0.24253562503633297], ["haha", 0.24253562503633297], ["bloke", 0.24253562503633297], ["said", 0.24253562503633297], ["hahahaha", 0.24253562503633297], ["laugh", 0.24253562503633297], ["hahaha", 0.24253562503633297], ["bottler", 0.24253562503633297], ["knew", 0.24253562503633297], ["fuck", 0.24253562503633297], ["jess", 0.24253562503633297], ["98th", 0.21638102387804162], ["3rd", 0.2146239230635664], ["brendan", 0.17717363551260704], ["cut", 0.1720197388045325], ["ticket", 0.17097584295269647], ["rodger", 0.16562920120259766], ["finish", 0.11296061729899065], ["minut", 0.10955720842215302]]</t>
  </si>
  <si>
    <t>Haha imagine it being lingard that ensures united finish in a top 4 position. Wheres that lad who had a bet on jesse lingard not to get a goal or assist this season🤣🤣🤣. 98th minute goal in the last game of the season, my god hahaha.</t>
  </si>
  <si>
    <t>[["babi", 0.5773502691896257], ["lingardinho", 0.5773502691896257], ["norwich", 0.28299876893344006], ["bournemouth", 0.2798454744653498], ["tottenham", 0.2482243658376455], ["watford", 0.2419077272727416], ["liverpool", 0.23408728335172244]]</t>
  </si>
  <si>
    <t>Lingardinho really sealed the win. 2020 doing it's thing. #LEIMUN. The 19-20 Premier League season is over 🚨. 1⃣ Liverpool. 2⃣ Man City. 3⃣ Man United. 4⃣ Chelsea. 5⃣ Leicester. 6⃣ Tottenham. 7⃣ Wolves. 8⃣ Arsenal.... 1⃣8⃣ Bournemouth. 1⃣9⃣ Watford. 2⃣0⃣ Norwich.</t>
  </si>
  <si>
    <t>[["dive", 0.5773502691896257], ["touch", 0.5773502691896257], ["red", 0.48128299620190523], ["build", 0.31890439147219385]]</t>
  </si>
  <si>
    <t>Top 3, come on you reds Manchester United #LEIMUN. Martial isn't it too early for a dive? Can’t believe greenwood made that touch under pressure. wow. Greenwoods touch in his own box there 😳😍 #LEIMUN. The natural ability of Greenwood with that touch 😳🔥 #LEIMUN.</t>
  </si>
  <si>
    <t>[["yellow", 0.5], ["tackl", 0.5], ["card", 0.5], ["book", 0.5]]</t>
  </si>
  <si>
    <t>But maguire too how you fit tackle like that so early. Maguire you know better than that lad a yellow card 10 mins in come on man. Maguire getting booked in the first 10 minutes... stupid challenge what is he thinking. Maguire own goal then red card is gonna be unbelievably funny.</t>
  </si>
  <si>
    <t>Rashford’s passing has improved since the restart. That new Rashford signature pass 👌🏾. Rashford what a pass. That was a top top pass from Rashford. Great run by Greenwood. That rashford pass is getting clipped😭. Good pass rashford... you take my note very quick... keep passing.</t>
  </si>
  <si>
    <t>What is matic doing ffs. I hate you maguire ffs. Maguire ffs 💔😭 #MUFC #LEIMUN. Maguire should calm the F down ffs. Maguire has been sooo bad ffs. Maguire is going to let us concede ffs. There’s definitely a Maguire mistake coming ffs. Ffs close them down #LEIMUN.</t>
  </si>
  <si>
    <t>Greenwood’s first touch is crazy good. Greenwood’s touch wtf. Bruh Greenwood's touch. Martial one touch now. That Greenwood touch was orgasmic. That touch from greenwood tho 😍. Greenwood is something else! That touch 😍. That touch from Greenwood 😳 #LEIMUN.</t>
  </si>
  <si>
    <t>[["offsid", 0.8164965809277261], ["spill", 0.4082482904638631], ["fumbl", 0.4082482904638631]]</t>
  </si>
  <si>
    <t>Iheanacho should have given vardy but he was offside anyways. De Gea is finished. How can he have a go at Vardy there when he fumbled a weak as piss shot 😂😂. Ffs De Gea what if that wasn't offside how can you be spilling that 🤦‍♂️. What a pass that was pogba shame it was offside.</t>
  </si>
  <si>
    <t>[["yellow", 0.7071067811865475], ["card", 0.7071067811865475]]</t>
  </si>
  <si>
    <t>Should be yellow for Vardy, should be. That early yellow card to Maguire is very important to this game. Nice. To bet Maguire Red Card 🤔? Cos Red Card dey smell for him body today. Which other defenders do we have on the bench.. Maguire is opened for business and on a yellow card.</t>
  </si>
  <si>
    <t>[["boot", 0.531752497752124], ["aubameyang", 0.46863373827024074], ["net", 0.42890437633511097], ["offsid", 0.3198243697331841], ["golden", 0.29957904877347763], ["auba", 0.28717276429063116], ["laca", 0.1978871040776886]]</t>
  </si>
  <si>
    <t>Fernandes has the ball in the net, but he's way offside so it remains 0-0. 32 minutes played... 1 more goal for Aubameyang to be tied with Vardy for the golden boot. Ellie Aight I take it back don’t let vardy score aubameyang needs golden boot.</t>
  </si>
  <si>
    <t>[["ff", 0.7071067811865475], ["take", 0.7071067811865475]]</t>
  </si>
  <si>
    <t>Need a wolves and Leicester win ffssss come on lads. Ffs Maguire did well there, Vardy was gonna score that. That was a chance for Rashford. Should be taking that. Please take out Rashford at halftime 😡😡😡 #LEIMUN. Rashford ffs man what was that man 🤦‍♂️. #MUFC.</t>
  </si>
  <si>
    <t>Schmeichel is a beast. Excellent save! Greenwood will save the day. What a save! Leicester 💙. #LEIMUN EPLFinal Day. What a save ! (Leicester) What an incredible save by Schmeichel! Schmeichel with a save. Good save that from kasper #LEIMUN. Only Ighalo can save you 😭😂.</t>
  </si>
  <si>
    <r>
      <rPr>
        <color rgb="FF000000"/>
        <u/>
      </rPr>
      <t>The Guardian</t>
    </r>
    <r>
      <rPr/>
      <t xml:space="preserve">, </t>
    </r>
    <r>
      <rPr>
        <color rgb="FF000000"/>
        <u/>
      </rPr>
      <t>BeSoccer (live)</t>
    </r>
    <r>
      <rPr/>
      <t xml:space="preserve">, </t>
    </r>
    <r>
      <rPr>
        <color rgb="FF000000"/>
        <u/>
      </rPr>
      <t>BeSoccer</t>
    </r>
    <r>
      <rPr/>
      <t xml:space="preserve">, </t>
    </r>
    <r>
      <rPr>
        <color rgb="FF000000"/>
        <u/>
      </rPr>
      <t>BBC</t>
    </r>
  </si>
  <si>
    <t>[["2nd", 0.8164965809277261], ["second", 0.4082482904638631], ["win", 0.4082482904638631]]</t>
  </si>
  <si>
    <t>If ole has any sense, he would push pogba forward in the 2nd half. #mufc. Leicester in the 2nd half is like when u were in pe and your playing 2 on 2 first goal wins. They need to go all out but need to defend incase they mess up.</t>
  </si>
  <si>
    <t>[["auba", 0.7071067811865475], ["mount", 0.4720178652391203], ["giroud", 0.4403612022663209], ["olivi", 0.2885847300770852]]</t>
  </si>
  <si>
    <t>Chelsea FC Mason Mount Olivier Giroud Leicester please am on my knees 🙏🙏. Golden Boot race between Auba and Vardy. Come on Auba, score 2 more goals. Arsenal worst season ever and Auba still managed to put 20+ behind goal. Arsenal kalau lepaskan Auba memang bangang abadi lah.</t>
  </si>
  <si>
    <t>[["aubameyang", 0.6885522859068164], ["boot", 0.5133742237820852], ["golden", 0.5121939631903519]]</t>
  </si>
  <si>
    <t>Vardy you just gonna let aubameyang try and take the golden boot away from you? Aubameyang is now 1 goal off Vardy for the golden boot 😬. Vardy - 23 ⚽️. Aubameyang - 22 ⚽️. Ings - 21 ⚽️. Vardy no won win Golden boot?😂. Make e score na.</t>
  </si>
  <si>
    <t>After Leicester Man Utd hear scores. Them go come all out for the 2nd half. Pls and pls, it's 2nd half of the game, let's get the f**king point and move on to the champions league Manchester United #LEIMUN #MUFC. Maguire skinned less than a minute into the 2nd half.</t>
  </si>
  <si>
    <t>[["foot", 0.6068597377270691], ["pass", 0.5830305759408592], ["matic", 0.4000941733118216], ["left", 0.36293423471179015]]</t>
  </si>
  <si>
    <t>What a pass that is from Matic. Martial showed too much to Justin. #MUFC. Am i blind or did matic make a forward pass. Williams and AWB need to stop passing to Matic Maguire and Lindelof. Pass it forward, too safe. The Man Utd Way Martial doesn't have left foot?</t>
  </si>
  <si>
    <t>[["aubameyang", 0.6497411817516643], ["boot", 0.5412259408972149], ["golden", 0.5337704353332763]]</t>
  </si>
  <si>
    <t>Aubameyang level on goals with Vardy now? Back to back golden boots am hearing. Don't let Vardy find out Aubameyang needs one more goal to match him for the Golden boot. Vardy's gonna hear the news that Aubameyang is closing in on his golden boot at half time...</t>
  </si>
  <si>
    <t>[["ayoz", 0.8226071280938545], ["perez", 0.5686101589043067]]</t>
  </si>
  <si>
    <t>Fuck Ayoze Perez being subbed 😭😭😭. Ayoze Perez is scoring isn't he? Ayoze Perez on, Utd CL hopes off. Ayoze Perez???? Rodgers doesn’t want to win. #LEIMUN Very positive change from Leicester. Ayoze Perez has been involved in 12 premier league goals this season.</t>
  </si>
  <si>
    <t>[["corner", 0.7071067811865475], ["ball", 0.475287152994764], ["gea", 0.3827161228517133], ["pick", 0.3572540993571438]]</t>
  </si>
  <si>
    <t>De Gea has let that go out for a corner.... De gea why the fuck don’t you pick up the ball????!!!! 😡😡. De Gea actually let that ball go for a. Are you kidding me De Gea left that ball to roll out for a corner. De Gea just watching the ball go for a corner. You fucking idiot!</t>
  </si>
  <si>
    <t>[["yellow", 1.0]]</t>
  </si>
  <si>
    <t>[63'] - Lindelof receives a yellow card. 0-0 #mufc. United has no game plan. 2 cb on yellows. The pressure is too much. #LEIMUN. Both our CBs have yellow cards now... something has to change #LEIMUN. Both Lindelof and Maguire on a yellow.. lord help us 😶.</t>
  </si>
  <si>
    <t>[["pen", 0.5773502691896257], ["foul", 0.5773502691896257], ["jonni", 0.43847814236608934], ["evan", 0.37559320015212855]]</t>
  </si>
  <si>
    <t>Has to be a pen didnt get close to the ball and brought martial down. Two fouls on martial just give us two penalties ref 😂. Our only two goals vs Leicester this season been pens 😂😂😂. Jonny evans, after all these years, finally coming through for united.</t>
  </si>
  <si>
    <t>[["goal", 0.37796447300922725], ["gol", 0.37796447300922725], ["johnni", 0.37796447300922725], ["convert", 0.37796447300922725], ["award", 0.37796447300922725], ["foul", 0.37796447300922725], ["lead", 0.37796447300922725]]</t>
  </si>
  <si>
    <t>[70'] - Goal for United! Fernandes converts the penalty. 0-1 #mufc. Manchester United players get fouled in the box every game. Manchester United are awarded their 96th penalty of the season. Bruno Fernandes with the goal, Johnny Evans with the assist 😁.</t>
  </si>
  <si>
    <t>[["pen", 0.4472135954999579], ["foul", 0.4472135954999579], ["johnni", 0.4472135954999579], ["champion", 0.37242238083418355], ["red", 0.36766852467651445], ["alway", 0.2545974390330651], ["leagu", 0.24759153914016999]]</t>
  </si>
  <si>
    <t>Bruno came into Manchester United qualifies them for champions league 😅😅😅more to come. Yes it was a pen, yes bruno has been shit, but that was a fantastic pass to martial to win the pen, which he would’ve scored anyway if he wasn’t fouled #LEIMUN.</t>
  </si>
  <si>
    <t>[["johnni", 0.5], ["lingard", 0.5], ["fourth", 0.4134303942928069], ["save", 0.4091554602109102], ["gea", 0.2873879075041228], ["score", 0.28120332337099824]]</t>
  </si>
  <si>
    <t>Bruno Fernandes is the fourth player to score 10+ goals for Manchester United season. Lingard better score in his last game for the club. Ok Lingard 1 goal or assist is all I need from you for the whole season. If na to strengthen us, Lingard shouldn't be the one coming on ffs.</t>
  </si>
  <si>
    <t>[["bring", 0.6309062976493768], ["lingard", 0.41436791813453555], ["sub", 0.3781876480232496], ["jess", 0.3166002087915943], ["take", 0.26336403112121337], ["greenwood", 0.22472129096291218], ["ole", 0.20968782884471684], ["he", 0.15220258084836805]]</t>
  </si>
  <si>
    <t>You don’t bring Greenwood off ffs what are you doing. Ole taking the piss now we are 1-0 bringing on Lingard. Imagine the scenes if jesse lingard seals champions league ball for united next season now. You see ole don't have sense, sub Bruno is greenwood you're subbing.</t>
  </si>
  <si>
    <t>[["pen", 0.8944271909999159], ["without", 0.4472135954999579]]</t>
  </si>
  <si>
    <t>Has probably the best Pen routine now in football. What would Man United be without penalties 🙄🙄. #LEIMUN. It isn't a united game if there isn't a pen #LEIMUN. Bruno Fernandes after have scored 6 pens goals.. Bruno Fernandes is shit without pens hth.</t>
  </si>
  <si>
    <t>[["yellow", 0.8164965809277261], ["ball", 0.3468690033136977], ["kick", 0.3258814675538767], ["free", 0.24590228907352266], ["pogba", 0.2152871598745004]]</t>
  </si>
  <si>
    <t>Pogba what an idiot man! Just move the ball instead of hogging the ball. Jamie Vardy should score this free kick and it is game on! One of those yellow card unless it's a second yellow tackles by Maguire... Learnt how to get a tactical yellow from the goat himself.</t>
  </si>
  <si>
    <t>[["sent", 0.37796447300922725], ["card", 0.37796447300922725], ["johnni", 0.37796447300922725], ["straight", 0.37796447300922725], ["champion", 0.37796447300922725], ["tackl", 0.33147826559129034], ["award", 0.2800490730903296], ["histori", 0.2538299815198947], ["horribl", 0.18160204375979047]]</t>
  </si>
  <si>
    <t>Jonny Evans just finished a horror show of a match with a 94’ straight red card. This is after he was already yellow carded for the decisive foul on United’s pen. Champione champione liga champione 😂😂😂. A really happy day just known join the champions league. 😂.</t>
  </si>
  <si>
    <t>[["lingard", 0.5732132261763188], ["bet", 0.33572149667891127], ["assist", 0.29246940227668833], ["omg", 0.2778924214242164], ["messi", 0.2778924214242164], ["jess", 0.2778924214242164], ["lol", 0.2778924214242164], ["ticket", 0.2778924214242164], ["bloke", 0.24821426908660266], ["guy", 0.1595243239536121]]</t>
  </si>
  <si>
    <t>Where is that guy that bet lingard will not score or assist at all throughout the season??? 🤣🤣🤣🤣🤣🤣. ticket don cut oo 😂😂. Imagine being that guy that bet on jesse lingard to have no goals or assists for the whole season to be robbed by that 😂😂😂.</t>
  </si>
  <si>
    <t>[["where", 0.408248290463863], ["ff", 0.408248290463863], ["hahahaha", 0.408248290463863], ["lmao", 0.408248290463863], ["98th", 0.36403206973502467], ["jonni", 0.2888440411120199], ["evan", 0.2247891971639312], ["minut", 0.18478993173628472], ["red", 0.18084690602589726]]</t>
  </si>
  <si>
    <t>Jonny evans completes his double agent performance w a red card. Man who in the world thought lingard will get a goal today lmao. Hahahaha that guy who bet on Lingard to not score or assist all season and he’s just banged one in in the 98th minute of the last game 🙄😂.</t>
  </si>
  <si>
    <t>[["norwich", 0.46540583378004535], ["bournemouth", 0.46060171154638724], ["tottenham", 0.4468959262083428], ["watford", 0.3979905291663615], ["liverpool", 0.3858791231433009], ["listen", 0.25343311811691804]]</t>
  </si>
  <si>
    <t>𝗛𝗢𝗪 𝗜𝗧 𝗙𝗜𝗡𝗜𝗦𝗛𝗘𝗗: 𝗧𝗼𝗽 𝗙𝗼𝘂𝗿: 🥇 1. Liverpool. 🥈 2. Man City. 🥉 3. Man Utd. ☑️ 4. Chelsea. 𝗘𝘂𝗿𝗼𝗽𝗮 𝗟𝗲𝗮𝗴𝘂𝗲: ☑️ 5. Leicester. ☑️ 6. Tottenham. 𝗥𝗲𝗹𝗲𝗴𝗮𝘁𝗲𝗱: ☑️ 18. Bournemouth. ☑️ 19. Watford. ☑️ 20. Norwich. 📻 Listen →.</t>
  </si>
  <si>
    <t>[["dive", 1.0]]</t>
  </si>
  <si>
    <t>Martial what was that dive?😂😂😂. Manchester diving United. Easy o. Martial diving course he try and get the softest penalty VAR will ever give #LCFC. Hei dont dive ! #LEIMUN. That Martial dive, LOL, absolute cheats of a team, needs a yellow. Offside aside what a dive by Martial.</t>
  </si>
  <si>
    <t>[["maguir", 0.778896384796947], ["yellow", 0.39962187265217136], ["book", 0.39962187265217136], ["pogba", 0.2718917791074046]]</t>
  </si>
  <si>
    <t>Pogba stop this holding on to ball and losing possession. But maguire too how you fit tackle like that so early. 9th minute. Maguire goes into the book for a wild challenge. Maguire now at risk for the rest of the game with that yellow 🤦🏾‍♀️.</t>
  </si>
  <si>
    <t>[["rashford", 0.7224817607672793], ["maguir", 0.6913899806611402]]</t>
  </si>
  <si>
    <t>I here you harry maguire is there really anything more i need to say. Rashford’s touch has been horrendous Maguire on a yellow, not the best opening 10 minutes.... 👀. How tf is Rashford’s long range passing so good post lockdown. I can’t lie that was a good ball from rashford.</t>
  </si>
  <si>
    <t>[["matic", 0.9760247807661236], ["ndidi", 0.2176594296841751]]</t>
  </si>
  <si>
    <t>What was that by Matic? In the box all you do is get the ball out. Matic sometimes need to look where he is passing 😳😳😳😳. Matic has not been the same since he signed new contract ffs. Oof, Ndidi could've / should've scored there. What was Matic doing?! #LEIMUN.</t>
  </si>
  <si>
    <t>[["touch", 0.9111752859468956], ["maguir", 0.3205090093113115], ["greenwood", 0.25890842634003747]]</t>
  </si>
  <si>
    <t>It’s so funny to watch Maguire play football 🤣🤣. Greenwood’s first touch is out of this World. What a wonderful touch by greenwood, someone clip that up please #LEIMUN. Harry Maguire there, with the touch of Chris Grayling and a government contract.</t>
  </si>
  <si>
    <t>[["gea", 0.8162990458084084], ["offsid", 0.5638716839989049], ["k3k3", 0.08339296100566988], ["long", 0.06651947463618146], ["garbag", 0.06576750980046676]]</t>
  </si>
  <si>
    <t>De gea trying his best to give me a heart attack the dick head. De Gea needs the season to end more than any other player. Iheanacho should have given vardy but he was offside anyways. David de gea in goal is like putting a 5’”2 striker from pro clubs in goal.</t>
  </si>
  <si>
    <t>[["rashford", 0.818584683845471], ["maguir", 0.5743858593085401]]</t>
  </si>
  <si>
    <t>Literally don't understand it. Every time Rashford gets the ball he's almost at left back. Really need a player that can actually play ball to come and bench this useless Rashford. Can Rashford pass to a red shirt. Maguire could get a red in this game.</t>
  </si>
  <si>
    <t>[["offsid", 0.6964671488406461], ["pogba", 0.6200989745837954], ["half", 0.268574120142403], ["like", 0.24140984713892852]]</t>
  </si>
  <si>
    <t>I need Pogba to start playing like a kaffir so we can win this game. Maguire should better give Iheanacho his slippers at half time. Bruno scores off a lovely Pogba pass, but he’s offsides.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</si>
  <si>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</si>
  <si>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</si>
  <si>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[["aubameyang", 0.887741651236377], ["auba", 0.3309746715001611], ["goal", 0.3199539458820146]]</t>
  </si>
  <si>
    <t>22 goals for Aubameyang, one goal behind Jamie Vardy with 23 in the the race for the Golden Boot! Don’t let Vardy find out that Auba is one goal behind him. Aubameyang go do then Vardy just go start dey score is this la? United Nyame🙏🏻.</t>
  </si>
  <si>
    <r>
      <rPr>
        <color rgb="FF000000"/>
        <u/>
      </rPr>
      <t>The Guardian</t>
    </r>
    <r>
      <rPr/>
      <t xml:space="preserve">, </t>
    </r>
    <r>
      <rPr>
        <color rgb="FF000000"/>
        <u/>
      </rPr>
      <t>BeSoccer (live)</t>
    </r>
    <r>
      <rPr/>
      <t xml:space="preserve">, </t>
    </r>
    <r>
      <rPr>
        <color rgb="FF000000"/>
        <u/>
      </rPr>
      <t>BeSoccer</t>
    </r>
    <r>
      <rPr/>
      <t xml:space="preserve">, </t>
    </r>
    <r>
      <rPr>
        <color rgb="FF000000"/>
        <u/>
      </rPr>
      <t>BBC</t>
    </r>
  </si>
  <si>
    <t>[["rashford", 0.8790715264996319], ["pogba", 0.40860521004096184], ["footbal", 0.24550974242377469]]</t>
  </si>
  <si>
    <t>Rashford's run of miserable form in front of goal continues. What a pass from pogba, and rashford take it easy mate control the ball!! Rashford and pogba are 2 of da most overrated players i have ever seen playing football. Rashford come on man you have to score that 🤦🏾‍♂️.</t>
  </si>
  <si>
    <t>[["rashi", 0.6439579416345302], ["afraid", 0.5763545606737659], ["stat", 0.30339242546969486], ["aint", 0.29022745390285726], ["return", 0.2772267140176968]]</t>
  </si>
  <si>
    <t>Rashy ain’t really been at it since football returned tbh! Don’t need stats for this one I’m afraid! #LEIMUN.</t>
  </si>
  <si>
    <t>[["chevrolet", 0.7434360322385993], ["save", 0.44986582883193527], ["goalless", 0.35140978083975805], ["end", 0.34847491724489654]]</t>
  </si>
  <si>
    <t>Schmeichel is a beast. Excellent save! What a save ! (Leicester) 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</si>
  <si>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</si>
  <si>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</si>
  <si>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[["reaction", 0.9291472657693343], ["see", 0.2720891071501833], ["want", 0.25030556582622354]]</t>
  </si>
  <si>
    <t>One day an analyst will present a Utd manager with data that shows overplaying Matic leads to pain. Because apparently they can't see it. Come on Leicester!!! Need Leicester City to score, just want to see the Man Utd fans reaction!!! #LEIMUN.</t>
  </si>
  <si>
    <t>[["point", 1.0]]</t>
  </si>
  <si>
    <t>Battle for the top four as it stands: 3️⃣ Chelsea - 66 points. 4️⃣ Man Utd - 64 points. --------- 5️⃣ Leicester - 63 points.</t>
  </si>
  <si>
    <t>[["martial", 0.7919138902163025], ["matic", 0.45140214274530055], ["pass", 0.4112280340728648]]</t>
  </si>
  <si>
    <t>What a pass from Matic, Martial should have shot with his left. This is why Martial isn't a top striker, just wasted Matic's through pass. What a pass that is from Matic into Martial. Martial goes down under pressure but never a penalty there.</t>
  </si>
  <si>
    <t>[["footbal", 1.0]]</t>
  </si>
  <si>
    <t>All we need is Leicester City win for the victory of football. Do your thing, vardy. Rashford you don't want CL football. Scenes if Leicester get CL football. Greenwood and Williams are the only man Utd players playing great football, the rest.....</t>
  </si>
  <si>
    <t>[["onth", 0.7825171773376618], ["forward", 0.6226289964107824]]</t>
  </si>
  <si>
    <t>The theme song for celebrating Manchester United's draw (WIN) today is Jollof Onthe Jet 🎵🔴🛩⚽️. At this point I’m taking Bruno off and pushing Pogba forward. Take off Bruno and Matic. Bring on Fred McTominay and push Pogba forward.</t>
  </si>
  <si>
    <t>[["fight", 0.7937246960894493], ["keep", 0.4386311377583003], ["sub", 0.42143069632689373]]</t>
  </si>
  <si>
    <t>Sub rashford off now. Keep. Fighting. Reds. 😤. #MUFC #LEIMUN. Come the fuck on Leicester, I want you in the Champions League more than I want 1k subs (and I'd quite like that tbf) #LEIMUN. Fuck Ayoze Perez being subbed 😭😭😭. A strange sub if your hunting’s goal #LEIMUN.</t>
  </si>
  <si>
    <t>[["hit", 0.5333395181711311], ["bar", 0.528593904798595], ["corner", 0.48599239928851334], ["vardi", 0.44715638204162284]]</t>
  </si>
  <si>
    <t>Vardy has hit bar 😂. This team go kill me walahi. #Vardy just hit bar. Some people heart dey do gbimgbim like this😂😂. #LEIMUN. De Gea has let that go out for a corner.... What the hell is De Gea doing? Leave a flick go hit the bar then a easy deflection roll out for a corner.</t>
  </si>
  <si>
    <t>[["footbal", 0.9096083219197476], ["yellow", 0.3517278952755116], ["card", 0.22113386981509559]]</t>
  </si>
  <si>
    <t>Both Lindelof and Maguire on a yellow.. lord help us 😶. If we don't beat Leicester I'm sorry but we don't deserve to be playing Champions League football! I hope we can all agree that Pogba is a VERY average footballer! Rashford invested his football talent into feeding kids man.</t>
  </si>
  <si>
    <t>[["pogba", 1.0]]</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</si>
  <si>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</si>
  <si>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0.72851844957738], ["jonni", 0.4241767328512798], ["evan", 0.27558230723379995], ["record", 0.27558230723379995], ["set", 0.2697658072999375], ["new", 0.1894382640414563], ["pen", 0.1696564326547863]]</t>
  </si>
  <si>
    <t>Wish Martial would just hit instead of playing for penalties. Manchester United have now officially had the most penalties in a Premier League season. Jonny Evans helping us get a penalty and giving us a chance for Champions League. Once a red always a red.</t>
  </si>
  <si>
    <t>[["bruno", 0.5474518350459662], ["fernand", 0.3138262555016954], ["might", 0.3087150606839948], ["never", 0.22726936766356856], ["perform", 0.21915036699317592], ["pen", 0.21451719748893544], ["still", 0.20929900023465894], ["seen", 0.20126844855065454], ["end", 0.19942270404767887], ["gooal", 0.16229013837037878], ["gol", 0.16229013837037878], ["fpl", 0.16229013837037878], ["fire", 0.16046882178400868], ["big", 0.1581152605650341], ["aw", 0.15764713104889047], ["min", 0.15047495749073964], ["assist", 0.14664821448814555], ["manag", 0.11676632217400736], ["mani", 0.11624368623737517], ["player", 0.10397733294830674]]</t>
  </si>
  <si>
    <t>Bruno Fernandes with another pen we can't beat this guy ffs. Get in. I'd take bruno off and put pogba further forward. I've never seen a player have so many awful performances and still manages to get a goal from a penalty in the end like Bruno Fernandes 😭.</t>
  </si>
  <si>
    <t>[["14th", 1.0]]</t>
  </si>
  <si>
    <t>Manchester United were just awarded their 14th penalty of the season. #Arsenal got their 3rd today. 20 penalties in all competitions. Record 14th in the EPL. Penchester United. #LEIMUN. That was Manchester United's 1⃣4⃣th penalty of the season, a new Premier League record...👀.</t>
  </si>
  <si>
    <t>[["gea", 0.8131664790858716], ["point", 0.5820311652232092]]</t>
  </si>
  <si>
    <t>De gea of the best of bests. De gea, my goal keeper ❤️❤️❤️. Battle for the top four as it stands: 3️⃣ Man Utd - 66 points. 4️⃣ Chelsea - 66 points. --------- 5️⃣ Leicester - 62 points. 75’ De Gea what a save! #LEIMUN. Can De Gea act like he's a goalkeeper now?? 😭😭.</t>
  </si>
  <si>
    <t>[["lingard", 0.9866480173121569], ["histori", 0.11598395303115835], ["spot", 0.1143390247170929]]</t>
  </si>
  <si>
    <t>Lingard coming on for his final game in the league for utd. I agree with the lingard sub, lingard runs about a lot and covers space. Lingard to score and confirm 3rd place for us pls 🥺🥺.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</si>
  <si>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</si>
  <si>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</si>
  <si>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0.9521920885588794], ["love", 0.305499961515348]]</t>
  </si>
  <si>
    <t>Bruno Fernandes scores to put United where they want to be. Couldn’t have been anyone else. What a signing.. Does anyone love scoring penalties more than Bruno Fernandes?. Love a Leicester goal here to finish third.</t>
  </si>
  <si>
    <t>[["yellow", 0.877901140616668], ["maguir", 0.3385830067702791], ["free", 0.2464105829734064], ["kick", 0.15860673650274448], ["pogba", 0.12074126784897866], ["foul", 0.11915707617773402]]</t>
  </si>
  <si>
    <t>Maguire gives away a free kick in a dangerous area. Too many of those today. One of those yellow card unless it's a second yellow tackles by Maguire... Maguire 🤭... Attacking player has his back to goal, absolutely no need to foul.</t>
  </si>
  <si>
    <t>[["foul", 0.6915341396916056], ["red", 0.446178275354663], ["ref", 0.4080822550312123], ["jonni", 0.28175234549243305], ["evan", 0.27711003081931634]]</t>
  </si>
  <si>
    <t>Ref has to be a Leicester fan. Anytime we apply pressure to a Leicester player, he gives a foul. Ndidi actually fouled Pogba there and not the other way round. Dude Leicester have fouled us in our box like five times. Expected a red for maguire but where did Evans come from 😂.</t>
  </si>
  <si>
    <t>[["evan", 0.49890057650424297], ["tackl", 0.48127791537081654], ["card", 0.359105406831965], ["jonni", 0.3177463579885904], ["undoubtedli", 0.264465230544865], ["mctominay", 0.21826044991492813], ["johnni", 0.21141355947039767], ["min", 0.21050685487241397], ["sent", 0.16940894930999809], ["scott", 0.1483704851557902], ["danger", 0.14117622271806807], ["aw", 0.1109869885888993]]</t>
  </si>
  <si>
    <t>Agent Evans has been playing for Utd rather than Leicester. Jonny Evans of all players to get sent off 😂. Johnny Evans is my new favourite players... Mctominay is a cunt. Awful tackle from Jonny Evans. Given a penalty away and a red card against his former club. #mufc.</t>
  </si>
  <si>
    <t>[["lingard", 0.8929224725674718], ["legend", 0.36450737844681574], ["gol", 0.26424198955090816]]</t>
  </si>
  <si>
    <t>Man who in the world thought lingard will get a goal today lmao. Ffs schmeichel should be sacked immediately for letting lingard score. Lingard final game of the season loooool get that guy out my club. Lingard scores ahahhahahahaha what a final day this has turned out to be.</t>
  </si>
  <si>
    <t>[["jess", 0.5344873929579512], ["fifth", 0.41809532863339943], ["none", 0.379711587156547], ["fpl", 0.35175047459765607], ["assist", 0.3190001944085056], ["third", 0.31664641559359713], ["full", 0.26378809791646135]]</t>
  </si>
  <si>
    <t>Ole's tricky reds into the champions league barcelona better watch out for jesse lingard and the crew. Lingard scores and Utd finish third not a sentence I expected back in November or even 20 minutes ago. Breaking! Jesse Lingard has scored a premier league goal 🚨.</t>
  </si>
  <si>
    <t>[["david", 0.6559877933310937], ["marshal", 0.6496945281290631], ["save", 0.38415756548551283]]</t>
  </si>
  <si>
    <t>David Marshall appreciation tweet ❤ #SCOCZE. David marshall let me kiss you. His name is David Marshall and he's a shagger. #SCOCZE. What a save David Marshall EURO 2020. Is David Marshall the greatest keeper of all time? #SCOCZE. #sco. David Marshall what a save. Wigan’s finest.</t>
  </si>
  <si>
    <t>[["wide", 0.5773502691896257], ["unlucki", 0.5773502691896257], ["lyndon", 0.5773502691896257]]</t>
  </si>
  <si>
    <t>Good attacking play down the left but Dykes shoots wide. Dykes just wide #SCO #SCOCZE. Wow that Roar and Dykes just puts it wide.. Sooo unlucky there Dykes. Liquid Football Scotland. Unlucky. Dykes great movement in the box. #SCOCZE. Is that Lyndon Dykes?</t>
  </si>
  <si>
    <t>[["donnel", 0.7686578628097691], ["stephen", 0.4552386135423091], ["nathan", 0.36613823256564043], ["defend", 0.260510439972189]]</t>
  </si>
  <si>
    <t>How is this O'Donnell guy a footballer 😂😂😂 #SCOCZE. Nathan Patterson wouldn't have got in his way.. Great defending from Stephen O'Donnell of the Czech Republic. May not be related to Phill O'Donnell but its good to see an O'Donnell down that side.</t>
  </si>
  <si>
    <t>[["close", 0.37796447300922725], ["chanc", 0.37796447300922725], ["save", 0.37796447300922725], ["buri", 0.37796447300922725], ["sprint", 0.37796447300922725], ["ronni", 0.2630980123548837], ["grant", 0.2611725547072279], ["hanley", 0.23702061546975658], ["whelan", 0.2255125820184718], ["celtic", 0.15093261444570005], ["brazi", 0.1358943242640425]]</t>
  </si>
  <si>
    <t>Huge chance for #SCO. Great football but what a save! EURO 2020. Is someone gonna tell Ronnie Whelan that it's Scotland and not Celtic playing? #SCOCZE. Right when did Grant Hanley become a fucking baller? Was that Grant Hanley or Ronaldo sprinting back there 👀.</t>
  </si>
  <si>
    <t>[["class", 1.0]]</t>
  </si>
  <si>
    <t>Do think McTominay is a top class player tbf. Robbo is world class also. Hanley has been class. Andy Robbo Is World Class 🔴 #SCOCZE. Christie's been absolutely Class👏🏻👏🏻. #SCO. Robertson is having a class game #sco. Hanley master class.</t>
  </si>
  <si>
    <t>[["header", 0.5], ["cross", 0.5], ["patterson", 0.5], ["sake", 0.4205155721805652], ["fuk", 0.2704933521431754]]</t>
  </si>
  <si>
    <t>Schick that’s a proper header, Czech got so many giants in the box. See, it wasn't Soucek but a header from a cross. Stop them putting crosses in. Hanley well beaten to the header for that Czech goal. Great header but we’ve had chances, Patterson and Adams on and it will come.</t>
  </si>
  <si>
    <t>[["patterson", 0.4245566801318842], ["adam", 0.42010472980923047], ["love", 0.3432330283946539], ["razor", 0.3432330283946539], ["feel", 0.3432330283946539], ["billi", 0.2667385780716226], ["che", 0.26261873117971285], ["odonnel", 0.2355666612840136], ["gilmour", 0.21600796918006104], ["half", 0.18842615824391534], ["need", 0.1098331791306468]]</t>
  </si>
  <si>
    <t>@AshwinRaman_ I've got a schick feeling about this game :( Scotland would be winning if billy gilmour was playing. Adams needs to come on at half time. #scocze. Armstrong off gilmour on. O’Donnell off Patterson on. Christie off che Adams on.</t>
  </si>
  <si>
    <t>[["half", 0.4082482904638631], ["penalti", 0.4082482904638631], ["patterson", 0.4082482904638631], ["pen", 0.4082482904638631], ["che", 0.3286371619906966], ["dyke", 0.28821337060375046], ["adam", 0.24220710647164614], ["pish", 0.2045500559560405], ["get", 0.204350175630638]]</t>
  </si>
  <si>
    <t>@caldwellrowan29 boril stood his ground, if he runs into him it's a clear pen. @markgoldbridge Well Scotland have che Adams on the bench. Baffled as to why he hasn't started. McTominay is getting that penalty if he's playing for man u in the league.</t>
  </si>
  <si>
    <t>[["patrick", 0.5], ["whigfield", 0.5], ["forrest", 0.40887336362741733], ["assist", 0.37169480125242915], ["coufal", 0.33442932694654215], ["jame", 0.2877891111838698]]</t>
  </si>
  <si>
    <t>@redgewd Coufal got the assist on the goal! ⚒. Are they playing fucking Whigfield over the tannoy? What year is this? #SCOCZE. @mstewart_23 I’ll have whatever you’ve taken, James Forrest 😂😂. 1-0 Czech Republic. Patrick Schick gives them the lead vs Scotland!.</t>
  </si>
  <si>
    <t>[["far", 0.7071067811865476], ["patrik", 0.4570040328105138], ["trail", 0.38554226388642693], ["put", 0.37749765132018437]]</t>
  </si>
  <si>
    <t>Get Steve Clarke so far to fuck. @andrewrobertso5 How far can Scotland go at EURO 2020? Tweet of the day so far👇. 🏴󠁧󠁢󠁳󠁣󠁴󠁿🆚🇨🇿 Who's impressed you so far? EURO 2020. Patrik Schick opens the scoring for the Czech Republic to put them up 0-1 over Scotland 🇨🇿.</t>
  </si>
  <si>
    <r>
      <rPr>
        <u/>
      </rPr>
      <t>The Guardian</t>
    </r>
    <r>
      <rPr>
        <u/>
      </rPr>
      <t xml:space="preserve">, </t>
    </r>
    <r>
      <rPr>
        <u/>
      </rPr>
      <t>BeSoccer</t>
    </r>
    <r>
      <rPr>
        <u/>
      </rPr>
      <t xml:space="preserve">, </t>
    </r>
    <r>
      <rPr>
        <u/>
      </rPr>
      <t>LiveScore</t>
    </r>
    <r>
      <rPr>
        <u/>
      </rPr>
      <t xml:space="preserve">, </t>
    </r>
    <r>
      <rPr>
        <u/>
      </rPr>
      <t>BBC</t>
    </r>
  </si>
  <si>
    <t>Get Billy Gilmour on second half #SCO. Che Adams is a must in the second half. C'mon Scotland big second half to turn it around #SCO. Bound to see Billy Gilmour in the second half.</t>
  </si>
  <si>
    <t>[["che", 0.8353068216182673], ["adam", 0.5497840610257707]]</t>
  </si>
  <si>
    <t>@KingsSpotland No a lot between the from the goal that is. Che Adams now on for Christie. Yassss Che Adams on! All our hopes rely on an Englishman come on che! 🏴󠁧󠁢󠁳󠁣󠁴󠁿. They had Che Adams on the bench this whole time? 😳. In 2 mins che Adams has done more than dykes.</t>
  </si>
  <si>
    <t>[["jack", 0.5589108331649966], ["hendri", 0.4971014827929954], ["marshal", 0.43883677681503047], ["save", 0.2929611921767628], ["david", 0.24364024630386186], ["second", 0.19684336961385032], ["fuck", 0.181436837177943], ["keep", 0.1762884338341655]]</t>
  </si>
  <si>
    <t>Wow Scotland have started this second half terribly two big saves from David Marshall to keep them in this game. Scotland need to show a lot more urgency. Hendry, why oh why oh why did you do that? 🤦. Also, what in the living fuck was Jack Hendry doing?</t>
  </si>
  <si>
    <t>[["vaclik", 0.7071067811865476], ["hell", 0.6237560034618965], ["bloodi", 0.3330592261824351]]</t>
  </si>
  <si>
    <t>Can Vaclik fuck off pls. Wow Vaclik 🤣🤣🤣🤣. Bloody hell.... #SCOCZE. Vaclik on 🔥 #SCOCZE. Vaclik is on something surely. Fucking hell why is O'Donnell still on the pitch? Vaclik the goat. Unreal from Vaclik. Vaclik. That was magnificent. #SCO vs #CZE is one hell a game !!</t>
  </si>
  <si>
    <t>[["differ", 0.7071067811865476], ["god", 0.4457540584710745], ["patrick", 0.4334553066735452], ["schick", 0.33677858671998245]]</t>
  </si>
  <si>
    <t>Look at the difference with Chè Adams on the pitch already, a different gravy. #SCO #SCOCZE. Che Adams looks good already…what a difference #sco. Oh my god, what an insane goal from Schick. Absurd. Oh my god, that goal by Schick. 👀. @czechfooty schick is god, that's all i can say.</t>
  </si>
  <si>
    <t>[["shick", 0.3831349471404576], ["way", 0.3099692711655675], ["fuck", 0.2886186837573686], ["christ", 0.1915674735702288], ["que", 0.1915674735702288], ["shoot", 0.1915674735702288], ["lob", 0.1915674735702288], ["hahahaha", 0.1915674735702288], ["worldi", 0.1915674735702288], ["poor", 0.1915674735702288], ["finish", 0.1915674735702288], ["ridicul", 0.1915674735702288], ["brilliant", 0.1915674735702288], ["amaz", 0.1915674735702288], ["lol", 0.1915674735702288], ["sick", 0.1915674735702288], ["patrick", 0.1915674735702288], ["halfway", 0.1915674735702288], ["hell", 0.1915674735702288], ["sake", 0.16516403825074005], ["david", 0.14292054536772061], ["marshal", 0.1275610232080067], ["half", 0.11051923068383766], ["line", 0.10229668081284671]]</t>
  </si>
  <si>
    <t>Fuck off Hendry you fucking cunt get fucked you selfish fucking bastard fuck off. Keep david marshall in derby and never let him back in scotland. Schick do you fancy scoring from the half way line?…. Patrick schick was amazing for leipzig and roma. im not surprised.</t>
  </si>
  <si>
    <t>[["seen", 0.3162277660168379], ["contend", 0.3162277660168379], ["unbeliev", 0.3162277660168379], ["unreal", 0.3162277660168379], ["gol", 0.3162277660168379], ["stun", 0.3162277660168379], ["pun", 0.3162277660168379], ["bend", 0.3162277660168379], ["halfway", 0.3162277660168379], ["execut", 0.3162277660168379]]</t>
  </si>
  <si>
    <t>Goal of the euro tournament this season 👌🏻👌🏻. Absolutely stunning. #cze. Schick just scored a contender for goal of the tournament... From execution tobprecision everything was spot on from Schick.. #cze. 👀 haven’t seen the halfway line goal in ages. ⚽️.</t>
  </si>
  <si>
    <t>[["cavani", 0.5], ["hell", 0.5], ["worldi", 0.5], ["schik", 0.5]]</t>
  </si>
  <si>
    <t>That Schick goal is what United fans thought Cavani's goal was. Worldy from Schick for the Czech Republic. EURO 2020. It is amazing Patrik Schik just scored goal from the middle of the pitch lobbing a goalkeeper at the same time and it is 2-0! #Sco #Cze EURO 2020 #football #Schik.</t>
  </si>
  <si>
    <t>[["strike", 0.37796447300922725], ["bend", 0.37796447300922725], ["lol", 0.37796447300922725], ["great", 0.3347793192978442], ["patterson", 0.3292333880730388], ["steve", 0.27394275419560565], ["clark", 0.2604083529398949], ["dyke", 0.24879088126038756], ["shite", 0.2393960027210792], ["gilmour", 0.18564083342597526], ["one", 0.17544215635819965], ["lyndon", 0.15378489568222123]]</t>
  </si>
  <si>
    <t>That was a great goal by #CZE Euro 2020. What we see vs what Steve Clarke sees. @WestEndBluenose Get Gilmour Patterson on. Armstrong O'Donnell off. @NigeWolves 🤣🤣🤣🤣🤣🤣🤣🤣🤣🤣🤣🤣🤣🤣🤣🤣🤣🤣🤣🤣🤣🤣🤣nearly as funny as score at hampden Park lol lol lol. The bend on the Schick strike is very good.</t>
  </si>
  <si>
    <t>Schick</t>
  </si>
  <si>
    <t>[["goali", 0.5], ["class", 0.4187694448186713], ["soucek", 0.3720611793742926], ["jack", 0.36724672843288136], ["hendri", 0.33930788445797344], ["assist", 0.3340216741509605], ["world", 0.27318885791016784]]</t>
  </si>
  <si>
    <t>What is this goalie doing?? World class! Soucek’s team winning 🤮🤮🤮. In less than 24 hours we've seen two world class goals.. The Euros are just getting started lads. There's more to come.. EURO 2020 #Schick. Was that not a soucek assist? Jack Hendry 🤦‍♀️. Hendry👀.</t>
  </si>
  <si>
    <t>[["angl", 0.5773502691896257], ["commentari", 0.5773502691896257], ["feel", 0.46117903407059974], ["scot", 0.34734310395780427]]</t>
  </si>
  <si>
    <t>The behind the goal camera angle is 😮. This angle of the Schick. @EwanMacKenna Looks worse from this angle... What a goal, and what a commentary EURO 2020. The Scots must be feeling Schick EURO 2020. How boring is that commentary 😴. Have a feeling we’re going to sign Schick.</t>
  </si>
  <si>
    <t>[["dyke", 0.6145790465434989], ["wow", 0.4529101566789786], ["lyndon", 0.3848008128711167], ["che", 0.3431004108535361], ["adam", 0.29565134549856475], ["get", 0.25291443200706787]]</t>
  </si>
  <si>
    <t>How Che adams didn’t start this game I do not know. Scotland’s best attacking player. Che Adams is miles better than that Dykes guy, his so bad😳 how tf did they start him n bench Adams? That should have been in Lyndon Dykes do better 😭.</t>
  </si>
  <si>
    <t>Che Adams for Christie</t>
  </si>
  <si>
    <t>[["unlucki", 0.7071067811865475], ["callum", 0.5486786196209629], ["mcgregor", 0.446040101751888]]</t>
  </si>
  <si>
    <t>Absolute class but #SCO have been so unlucky all game. This Scotland team is leeds united version of euro, entertaining but so unlucky #scocze. If Callum Mcgregor is the answer then what is the question? Callum McGregor isn't going tae make any difference fs, pointless sub.</t>
  </si>
  <si>
    <t>[["vaclik", 0.31622776601683794], ["fella", 0.31622776601683794], ["goali", 0.31622776601683794], ["omg", 0.31622776601683794], ["nisbet", 0.31622776601683794], ["fuck", 0.31622776601683794], ["score", 0.31622776601683794], ["guy", 0.2776462579429987], ["puska", 0.25139938892809094], ["chanc", 0.20779030295086098], ["mani", 0.20034876243533317], ["award", 0.1918289530977596], ["dyke", 0.15136893819489466], ["need", 0.1291648690249011]]</t>
  </si>
  <si>
    <t>Goal of the tournament already!!! Puskas award contender!!! What a strike!!! He smashed the ball and the goalie in the goal! This guy Dykes has missed too many chances … he has to score that. Vaclik is playing out of his mind for the Czech Republic.</t>
  </si>
  <si>
    <t>Holeš for Kral</t>
  </si>
  <si>
    <t>[["che", 0.3917749898824734], ["fraser", 0.3912628955723939], ["ryan", 0.336920223570016], ["adam", 0.33645585634178243], ["shite", 0.2582103028634224], ["terribl", 0.2582103028634224], ["save", 0.2582103028634224], ["nisbet", 0.2582103028634224], ["goali", 0.2582103028634224], ["wow", 0.2582103028634224], ["worst", 0.205060655522522], ["striker", 0.11422470218468878], ["ive", 0.1075890583298926]]</t>
  </si>
  <si>
    <t>Dykes should have scored that!... But what a save it was. Ryan Fraser coming on, I always forget he's like 5'4." This dykes brudda is terrible how did steve clarke start him over che adams? Che adams is doing so well putting himself about 👏🏾⚽️ #sco.</t>
  </si>
  <si>
    <t>Fraser for Amstrong</t>
  </si>
  <si>
    <t>[["lol", 0.408248290463863], ["shick", 0.408248290463863], ["save", 0.408248290463863], ["still", 0.3456231791870055], ["callum", 0.3203839020907318], ["steve", 0.2985525047763645], ["clark", 0.278447604691485], ["mcgregor", 0.2530233624545036], ["pitch", 0.21728157923610034]]</t>
  </si>
  <si>
    <t>@Iammirzaarif This goal from Shick. What a game it is. 🔥. Steve clarke is not serious at all. Why are there still 5 at the back and why is O'Donnell still on the pitch 🙇‍♂️. We live in a world where Steve Clarke has brought on Callum McGregor over Billy Gilmour. Unbelievable.</t>
  </si>
  <si>
    <t>McGregor for Hendry</t>
  </si>
  <si>
    <t>[["hlozek", 0.7071067811865475], ["fraser", 0.527209341509535], ["ryan", 0.4712221453041892]]</t>
  </si>
  <si>
    <t>Scotland need a goal and they bring on Ryan Fraser 🤣🤣. Adam Hlozek, nick. Did work for me on Footy Manager. Adam Hlozek on for the Czech Republic.. FM folks eating good already with the Euros. Hlozek 😍 if you play fm 21 this is a moment right now!</t>
  </si>
  <si>
    <t>Hložek for Jankto</t>
  </si>
  <si>
    <t>[["lyndon", 0.8431788615998991], ["dyke", 0.5376331531361307]]</t>
  </si>
  <si>
    <t>Lyndon Dykes in the box. Lyndon dykes after being asked to run. Get Lyndon fucking dykes off the park. Dykes 😎. Stop calling up Lyndon Dykes @ScotlandNT. Lyndon Dykes Vs Czech Republic.. Lyndon Dykes 🔥🔥🥶🥶 better then Werner??🩹🩹🍺🍺. @QPR have sent Lyndon Dykes undercover 🏴󠁧󠁢󠁥󠁮󠁧󠁿.</t>
  </si>
  <si>
    <t>Vydra for Masopust</t>
  </si>
  <si>
    <t>[["mctominay", 0.6324555320336759], ["shit", 0.31622776601683794], ["nisbet", 0.31622776601683794], ["forrest", 0.2743921405622243], ["billi", 0.2457708630611202], ["lyndon", 0.24574796009834018], ["david", 0.24438234816180912], ["marshal", 0.20069197270175088], ["dyke", 0.1990174366921265], ["gilmour", 0.1989891526445402], ["jame", 0.15719081779060926]]</t>
  </si>
  <si>
    <t>@brougher1 @andycrichton6 Why take off hendry put mctominay back to bring in McGregor,just take mctominay off,but he plays for man u so can't do that. Nisbet and Adams in the squad and he picks dykes😭. James fucking forrest over turnbull or fucking billy gilmour just fuck off.</t>
  </si>
  <si>
    <t>Forrest for O'Donnell</t>
  </si>
  <si>
    <t>[["mcginn", 0.5], ["late", 0.4243958170477413], ["hat", 0.42168530531592424], ["stephen", 0.4203362802349888], ["donnel", 0.2707718809592549], ["trick", 0.2686661558153833], ["minut", 0.2643637465167645]]</t>
  </si>
  <si>
    <t>Stephen O’ Donnell got 78 minutes of that game. 🤦🏽‍♂️ #SCOCZE. Too late for a call up @ScotlandNT ? 🤣🏴󠁧󠁢󠁳󠁣󠁴󠁿 EURO 2020. Dykes coming off 78 minutes too late. No one is better than McGinn at that. Schick should have a hat trick right now what a chance to score.</t>
  </si>
  <si>
    <t>Nisbet for Dykes</t>
  </si>
  <si>
    <t>[["alreadi", 0.7882220560795985], ["tournament", 0.4379684773556627], ["wrap", 0.4323073017569941]]</t>
  </si>
  <si>
    <t>Already have goal of the tournament on the 4th day 😭😭😭🔥🔥🔥. A few games into the tournament and this guy already has the goal of the tournament 😭😭😭😭❤️. Goal of the tournament already no debates 😳🔥#SCOCZE EURO 2020. So we have the goal of the tournament wrapped up already #SCOCZE..</t>
  </si>
  <si>
    <t>Ševčik for Schick</t>
  </si>
  <si>
    <t>[["steve", 0.5832176104824696], ["clark", 0.5393225910781401], ["patrick", 0.41383848084389446], ["save", 0.30565001167221534], ["marshal", 0.19832027374671218], ["david", 0.19623819101537343], ["fuck", 0.1626769348171854]]</t>
  </si>
  <si>
    <t>David marshall has saved us all game this could be 5/6. Scotland beaten at home by the Czechs. Two wonderful goals by Patrick Schick. Second a contender for goal of the tournament already. What the fuck was David Marshall doing that high up the pitch?. Patrick Schick.</t>
  </si>
  <si>
    <t>Krmencik for Darida</t>
  </si>
  <si>
    <t>[["save", 0.6626385616258341], ["marshal", 0.5867136617440293], ["david", 0.4654859995417247]]</t>
  </si>
  <si>
    <t>David Marshall Save bc😳🔥. Great save from David Marshall as Czech Republic nearly take the lead after McGinn was caught in possession #SCOCZE #SCO #CZE #Scotland EURO 2020. Good save by Marshall.. #SCOCZE EURO 2020. David Marshall what a save. Wigan’s finest.</t>
  </si>
  <si>
    <t>[["donnel", 0.6063338163622612], ["stephen", 0.5713622705787287], ["defend", 0.5530863032969588]]</t>
  </si>
  <si>
    <t>Good defending by o'donnell there for the czechs 😭😭. Great defending from Stephen O'Donnell of the Czech Republic. Stephen O'Donnell defending brilliantly against Ryan Christie. First time Christie beats a man all season and Stephen O'Donnell tackles him 🤣🤣🤣.</t>
  </si>
  <si>
    <t>Class save #CZE. It’s a good save. ‘Mon!!!!! #SCO EURO 2020. Fantastic save #Sco #CZE. What a save from Vaclik. What a save that was #SCOCZE. Oh he did hit the target good save euro 2020. Good shot good save 😵. #SCOCZE. Good save Vaclik. What a save by the #CZE keeper!</t>
  </si>
  <si>
    <t>[["header", 0.8164965809277261], ["lead", 0.4082482904638631], ["schick", 0.3521855123269182], ["goal", 0.20647525656526713]]</t>
  </si>
  <si>
    <t>What a cross, and what a header from Schick 👏🏻. Most goals in the tournament are from header. EURO 2020. That is an absolutely top class header from Schick! #CZE. Schick scores from a header to lead for czech republic against Scotland 1-0.</t>
  </si>
  <si>
    <t>[["patrick", 0.7071067811865475], ["half", 0.4816667160978342], ["adam", 0.41342467148128376], ["patterson", 0.3115721675858114]]</t>
  </si>
  <si>
    <t>Goal for #CZE. Patrick Schick with a lovely header on to the bottom corner! Che Adams on for Armstrong then Patterson on for O’Donnell in this second half. Adams and Patterson must come on at half time. 1-0 Czech Republic. Patrick Schick gives them the lead vs Scotland!.</t>
  </si>
  <si>
    <t>[["penalti", 1.0]]</t>
  </si>
  <si>
    <t>Christie what a run and why no penalty for mctominay. In what universe was that not a penalty for Scotland? Euro 2020. What is the view of “there was contact” brigade on that penalty there most certainly was (lots)? Probably not a penalty because he didn’t dive and roll? #SCOCZE.</t>
  </si>
  <si>
    <t>[["patterson", 0.8944271909999159], ["assist", 0.3810838907363705], ["coufal", 0.23404074051589827]]</t>
  </si>
  <si>
    <t>🇨🇿 Vladimir Coufal for club and country this season: 51 appearances. 12 assists. A brilliant assist to give Czech Republic the lead against Scotland.. Scotland National Team Gilmour Patterson on second half please. Adams and Patterson on and the goals will come.</t>
  </si>
  <si>
    <t>[["save", 0.7614810617041359], ["marshal", 0.4733105020730313], ["second", 0.44285862449919294]]</t>
  </si>
  <si>
    <t>Great save from David Marshall already as Czech Republic look for the second goal. Another good save just after that. Dreadful start for Scotland to the second half. #SCOCZE #SCO #CZE #Scotland EURO 2020. Marshall very busy with two big saves early in this half EURO 2020 #SCO.</t>
  </si>
  <si>
    <r>
      <rPr>
        <u/>
      </rPr>
      <t>The Guardian</t>
    </r>
    <r>
      <rPr>
        <u/>
      </rPr>
      <t xml:space="preserve">, </t>
    </r>
    <r>
      <rPr>
        <u/>
      </rPr>
      <t>BeSoccer</t>
    </r>
    <r>
      <rPr>
        <u/>
      </rPr>
      <t xml:space="preserve">, </t>
    </r>
    <r>
      <rPr>
        <u/>
      </rPr>
      <t>LiveScore</t>
    </r>
    <r>
      <rPr>
        <u/>
      </rPr>
      <t xml:space="preserve">, </t>
    </r>
    <r>
      <rPr>
        <u/>
      </rPr>
      <t>BBC</t>
    </r>
  </si>
  <si>
    <t>[["poor", 0.2773500981126146], ["lob", 0.2773500981126146], ["patrick", 0.2773500981126146], ["halfway", 0.2773500981126146], ["unbeliev", 0.2773500981126146], ["gol", 0.2773500981126146], ["shick", 0.2773500981126146], ["freak", 0.2773500981126146], ["ridicul", 0.2773500981126146], ["seen", 0.2773500981126146], ["contend", 0.2773500981126146], ["worldi", 0.2773500981126146], ["alreadi", 0.2288071815709058], ["strike", 0.15674932403253117]]</t>
  </si>
  <si>
    <t>Schick just lobbed the keeper from the midfield line. What a freaking goal. The winner of the best goal of the tournament already? Probably. Patrick Schick with a contender for goal of the tournament 🤯. The audacity 🙆🏾‍♂️ We have the goal of the tournament wrapped up already.</t>
  </si>
  <si>
    <t>[["class", 0.5], ["halfway", 0.5], ["pun", 0.5], ["cavani", 0.5]]</t>
  </si>
  <si>
    <t>That boy Schick is on another level. Been a class above so far. Social media execs trying to think of a Schick pun after that goal. Schick just scored a poundland version of cavani's goal vs fulham. ⚫️🇮🇹 Schick just scored a goal from the halfway line.</t>
  </si>
  <si>
    <t>[["schik", 0.5], ["contend", 0.5], ["unbeliev", 0.5], ["far", 0.39220734666345203], ["best", 0.23323764097344907], ["chick", 0.20438590963262418]]</t>
  </si>
  <si>
    <t>That goal was unbelievable. No one could save that. #SCOCZE. Best game of the tournament so far. End to end and full of action so far. And some fantastic goals! #SCOCZE EURO 2020. Patrick Schik’s goal from the halfway line. 🔥 Goal of the tournament contender. 🙌🏼. EURO 2020.</t>
  </si>
  <si>
    <t>[["shot", 0.5773502691896256], ["class", 0.4919075457309155], ["soucek", 0.42989388746095214], ["assist", 0.3853888670642206], ["world", 0.3022586637076273]]</t>
  </si>
  <si>
    <t>That shot was…. #Scotland EURO 2020. World class! 😱😱😱 3 seconds between each shot... Soucek’s team winning 🤮🤮🤮. In less than 24 hours we've seen two world class goals.. The Euros are just getting started lads. There's more to come.. EURO 2020 #Schick. Was that not a soucek assist?</t>
  </si>
  <si>
    <t>[["save", 0.6725446518674387], ["score", 0.3593766513772265], ["goalkeep", 0.3593766513772265], ["net", 0.3593766513772265], ["mani", 0.22114041421203798], ["chanc", 0.2013580513942204], ["vaclik", 0.17628777899806616], ["need", 0.14225518724997552], ["dyke", 0.13952380297438072]]</t>
  </si>
  <si>
    <t>Dykes needs binned, how many chances does he miss 🙉. Dykes should have scored that!... But what a save it was. #Scotland doing everything but finding the back of the net EURO 2020. 📸 - Another great save from Vaclik, what a performance he is having...</t>
  </si>
  <si>
    <t>[["patrick", 0.8944271909999159], ["alreadi", 0.4472135954999579]]</t>
  </si>
  <si>
    <t>Goal of the tournament already? Gonna be hard to top that 🤯. Patrick schick is a serious baller herh what a goal🔥🔥👍. At this moment in time, Patrick Schick is the best finisher in world football #scocze. Patrick Schick taking the goal of the tournament away from Yarmolenko.</t>
  </si>
  <si>
    <t>[["patrick", 0.7239647656940014], ["forrest", 0.6573179256554703], ["jame", 0.2093039957707907]]</t>
  </si>
  <si>
    <t>James Forrest has half my heart and Kieran Tierney has the other half🤍🤍🤍🤍. Patrick Schick, goal of the tournament no doubt 🔥🔥 EURO 2020. Patrick Schick with one of the best goals you'll ever see. (via TUDN USA).. That was sick from Forrest,What a goal that would have been.</t>
  </si>
  <si>
    <t>[["alreadi", 0.8718431016659355], ["tournament", 0.4897852652719572]]</t>
  </si>
  <si>
    <t>Goal of the tournament already! EURO 2020. Already have goal of the tournament on the 4th day 😭😭😭🔥🔥🔥. A few games into the tournament and this guy already has the goal of the tournament 😭😭😭😭❤️. So we have the goal of the tournament wrapped up already #SCOCZE..</t>
  </si>
  <si>
    <t>[["save", 0.7408867957016776], ["marshal", 0.4782975138120948], ["david", 0.47150635651714146]]</t>
  </si>
  <si>
    <t>David Marshall will be a national hero now after a save from 2-0 down. David marshall has saved us all game this could be 5/6. Great save, Marshall. 👏. #SCOCZE EURO 2020. David Marshall has saved us from a 5-0 the day, boys bottled it!!</t>
  </si>
  <si>
    <t>[["patrick", 1.0]]</t>
  </si>
  <si>
    <t>Best performance of the euros so far defo Patrick schick. But how about that second goal from Patrick Schick?! 😳😳😳. What an incredible performance by Patrick Schick out a world class 🏆. 1-0 Czech Republic. Patrick Schick gives them the lead vs Scotland!.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</si>
  <si>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</si>
  <si>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</si>
  <si>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</si>
  <si>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</si>
  <si>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</si>
  <si>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</si>
  <si>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[["schick", 0.599641489131586], ["cross", 0.47662677458001257], ["coufal", 0.45628020011067955], ["assist", 0.32330308136640523], ["gol", 0.18924786117930115], ["lead", 0.18924786117930115], ["defend", 0.17003232901296664]]</t>
  </si>
  <si>
    <t>Coufal assist, don’t think anyone’s surprised. His crosses are unreal. Coufal again with the assist. What a signing he was for west ham 🤑. Coufal with a free run and cross, horrendous defending 🥴. What a cross, and what a header from Schick 👏🏻.</t>
  </si>
  <si>
    <t>[["final", 0.7948262129858367], ["schick", 0.45225142854064804], ["scocz", 0.4046232031576246]]</t>
  </si>
  <si>
    <t>Finally one of those corner kicks paid off!!! EURO 2020. After playing Lawn Tennis with set-pieces, the Czech Republic finally score. #SCOCZE. Schick takes the lead for #SCO. EURO 2020. Finally!! A goal #SCOCZE. Winning a euros game isn't for everyone... #eng #SCOCZE.</t>
  </si>
  <si>
    <t>[["play", 0.6860783605149718], ["penalti", 0.41733024079102254], ["nod", 0.3542745468068332], ["pen", 0.24067643939890906], ["stephen", 0.2053764003815222], ["score", 0.1926895531095949], ["half", 0.18262623249950777], ["12th", 0.1725887921745301], ["premier", 0.17102160291903887]]</t>
  </si>
  <si>
    <t>Mctominay thinks he is still playing in United shirt in trying to win a penalty for Scotland 🤣🤣🤣. Fuck you Steve Clarke. Played quality attacking football against Netherlands just to play like a pussy today. I really want you to score Mctominay but that was not a penalty 😅.</t>
  </si>
  <si>
    <t>[["header", 0.952993861732746], ["assist", 0.30298960295645117]]</t>
  </si>
  <si>
    <t>We should not be losing a goal like that. Go and meet the header. Make it yours.. Big 2nd half ahead. #SCOCZE. Coufal for the assist, 👀. Coufal assist. Wonderful cross. is the first YouTuber to score at EURO 2020, having opened the scoring vs. Scotland. Excellent header. 🔥.</t>
  </si>
  <si>
    <t>[["half", 0.7576067390803937], ["var", 0.4864411309982488], ["ref", 0.4352092082816228]]</t>
  </si>
  <si>
    <t>Disappointing to concede having played well for most of the half. #SCOCZE. Best tackle of the first half half was Stephen O’Donnells on John McGinn when he was through on goal 😑. Ref has Donkey Brains. #SCO. Are they using VAR at this tournament? #SCOCZE.</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</si>
  <si>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</si>
  <si>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</si>
  <si>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r>
      <rPr>
        <u/>
      </rPr>
      <t>The Guardian</t>
    </r>
    <r>
      <rPr>
        <u/>
      </rPr>
      <t xml:space="preserve">, </t>
    </r>
    <r>
      <rPr>
        <u/>
      </rPr>
      <t>BeSoccer</t>
    </r>
    <r>
      <rPr>
        <u/>
      </rPr>
      <t xml:space="preserve">, </t>
    </r>
    <r>
      <rPr>
        <u/>
      </rPr>
      <t>LiveScore</t>
    </r>
    <r>
      <rPr>
        <u/>
      </rPr>
      <t xml:space="preserve">, </t>
    </r>
    <r>
      <rPr>
        <u/>
      </rPr>
      <t>BBC</t>
    </r>
  </si>
  <si>
    <t>[["crossbar", 0.7858962848653148], ["patrik", 0.48426158530828256], ["bar", 0.3845227515110192]]</t>
  </si>
  <si>
    <t>HENDRY HITS THE BAR! Oooof Scotland close to levelling the game as Jack Hendry’s effort hits the bar. Much better from Scotland. Hits the crossbar.. Scotland National Team.. #SCOCZE.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</si>
  <si>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</si>
  <si>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[["goal", 0.638893843691725], ["schick", 0.4631070329753915], ["patrick", 0.41037928475487373], ["keeper", 0.30082054297714217], ["gol", 0.18428169299171376], ["decis", 0.17340638598768565], ["bow", 0.16556782647475665], ["hendri", 0.16431723534608655]]</t>
  </si>
  <si>
    <t>That is fucking sensational from Patrik Schick take a bow. Schick's left foot is unreal mate!! Poor decision making by Hendry... Schick just lobbed the keeper from the midfield line. What a freaking goal. Fact: Patrick Schick is the best striker in the world.</t>
  </si>
  <si>
    <t>[["schick", 1.0]]</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</si>
  <si>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</si>
  <si>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0.6511865375437864], ["win", 0.5378430294292788], ["sorri", 0.5354259696877532]]</t>
  </si>
  <si>
    <t>Teamspirt💪🏻🔥 What a win en great atmosphere 🦁 EURO 2020. I actually predicted #SCO to win this game 1-0 lmaooo. I'm sorry Scotland, you'll never win with an ex Norwich goalkeeper #SCOCZE #Euros. OUT OF THIS WORLD FROM PATRIK SCHICK 🤯.</t>
  </si>
  <si>
    <t>[["refere", 0.7906074928802362], ["net", 0.6123232742609308]]</t>
  </si>
  <si>
    <t>Why is Ander Herrera refereeing this match? #SCOCZE. Getting absolutely nothing at all out of this referee #sco. The net looks broken from the aftermath of the goal #SCOCZE EURO 2020. The way the keeper went flying into the net is killing me, Schick did him dirty man💀.</t>
  </si>
  <si>
    <t>[["deflect", 0.8142709026895485], ["save", 0.5804850532383652]]</t>
  </si>
  <si>
    <t>McLaughlin wd have saved that 🤣. 🏴󠁧󠁢󠁳󠁣󠁴󠁿 61' - Stuart Armstrong's effort is deflected onto the roof of of the net. #SCO 0-2 #CZE. Thought that was deflecting in then😭 #SCOCZE EURO 2020. Scotland very unlucky yet again. Stuart Armstrong goes close but it deflects over the bar.</t>
  </si>
  <si>
    <t>[["goalkeep", 0.7254338469516491], ["sweeper", 0.439431511607931], ["marshal", 0.4053291978408397], ["dyke", 0.3411069065272667]]</t>
  </si>
  <si>
    <t>62' LYNDON DYKES !!! A chance from him is still anticipated by goalkeeper. Criminals from a goalkeeper of Marshall's experience. And exactly the Jack Hendry we've known. #SCOCZE. Steve Clarke just changed David Marshall from Sweeper keeper (attack) to Goalkeeper (defend).</t>
  </si>
  <si>
    <t>[["dyke", 0.7305357083252265], ["score", 0.5165995874241104], ["striker", 0.2837348733736112], ["schick", 0.25527109491422584], ["vaclik", 0.2318914290523728]]</t>
  </si>
  <si>
    <t>That’s so poor from Dykes, you have got to be scoring that. This guy Dykes has missed too many chances … he has to score that. Scotland should have scored least one by now. Dykes ugh, come on man. Dykes is actually so bad, great save by Vaclik but he has to be scoring that 😭.</t>
  </si>
  <si>
    <t>[["second", 0.7763343958526946], ["keep", 0.30583944324231666], ["best", 0.29970535214148175], ["half", 0.28040482709915027], ["david", 0.26382035977414453], ["play", 0.25635091842852553]]</t>
  </si>
  <si>
    <t>Ryan Fraser coming on now after refusing to play the opening hour as he wanted to stay fit for the final half hour. That Dykes really the best we have ? He’s fuckin pish. David Marshall did his best to keep it out 🧤. That second goal from Patrick Schick was rude uno golazoooo 🔥🔥🔥.</t>
  </si>
  <si>
    <t>[["sub", 0.560744052834246], ["2nd", 0.5484591134923045], ["net", 0.3436407386305909], ["terrorist", 0.32574474274526327], ["patrick", 0.3065421435214797], ["goalkeep", 0.2580543113585985]]</t>
  </si>
  <si>
    <t>2-0 down and we bring on mcgregor Steve Clarke football terrorist. All FM players watching Hlozek being subbed in at the euros. When that lad scored the 2nd goal for #cze he the net was literally a dot on the horizon. When Dykes missed he was basically inside the net.</t>
  </si>
  <si>
    <t>[["forrest", 0.7957212820986236], ["dyke", 0.4269154440891108], ["final", 0.2306959519811007], ["brought", 0.22249667775935592], ["odonnel", 0.21226829744810416], ["champion", 0.19180099279614285]]</t>
  </si>
  <si>
    <t>James Forrest🤣🤣🤣 clarke needs to stay off the sauce. Oh look ODonnell finally off for Forrest. And Nisbet on for Dykes. Finally Dykes is off, woohoo! He's just subbed o'donnell for forrest I've got no words. Dykes and Forrest should have been on half an hour ago ffs.</t>
  </si>
  <si>
    <t>[["crimin", 0.557726675070103], ["like", 0.5028655595108406], ["ref", 0.4878770270812431], ["marshal", 0.44502043932775165]]</t>
  </si>
  <si>
    <t>David marshall has saved us all game this could be 5/6. The ref's given Scotland nothing today #SCOCZE. Team like Scotland having a player like Billy Gilmour and not using him is absolutely criminal.... Some cracking goalkeeping from Vaclik and Marshall today 🧤.</t>
  </si>
  <si>
    <t>[["schick", 0.5990825106250166], ["blame", 0.42360490815216656], ["goal", 0.3832868149703728], ["sensat", 0.24697410697282893], ["armchair", 0.2258999184822431], ["patrick", 0.21455153322378623], ["patrik", 0.21088027569651366], ["simpl", 0.20626295218688576], ["least", 0.18914719966478064], ["secur", 0.18411774049446014]]</t>
  </si>
  <si>
    <t>Blaming Jack Hendry for taking a shot, not having it. That's football. That patrick schick goal will win goal of the tournament. Patrik Schick's wonder goal secures an opening game win for Czech Republic. Simple sensational. EURO 2020.</t>
  </si>
  <si>
    <t>[["masterclass", 0.7548599798331184], ["incom", 0.6558859739667744]]</t>
  </si>
  <si>
    <t>An incoming masterclass from Pogba, Kante Giroud EURO 2020. Pogba masterclass today. Paul Labile Pogba masterclass incoming 💯❤️ 🔥. Pogba and Mbappe masterclass incoming to save my fantasy team. Need a Pogba masterclass now. Another Pogba masterclass incoming.</t>
  </si>
  <si>
    <t>[["alreadi", 0.8550681385853726], ["kant", 0.5185156491140323]]</t>
  </si>
  <si>
    <t>Kante already with the assignment lol. Kante has already started work. lol. One tackle for Kante already. EURO 2020. Kante body checking already.</t>
  </si>
  <si>
    <t>[["kant", 0.7071067811865475], ["pavard", 0.7071067811865475]]</t>
  </si>
  <si>
    <t>@reganglackin98 Scotland’s Kante 👏🏻👌. Kante what a player. Kante is so good man. Kante wayyyyyy 😭. @EURO2020 @FrenchTeam Carried by kante. @EURO2020 @FrenchTeam Kante and others. Pavard honestly f u. Pavard is STRUGGLING! 😂 #HUNFRA EURO 2020. Pavard il guy. PAVARD YC.</t>
  </si>
  <si>
    <t>EURO 2020 #HUNFRA reference should give 2 yellow cards - Varane and Pavard! Pavard is gonna get cooked after that yellow on that flank. First yellow of the match to Paward ! #HUNFRA. First yellow card.. it’s been coming for a while to be fair EURO 2020 #HUNFRA. Pavard yellow hmmm.</t>
  </si>
  <si>
    <t>[["griezmann", 0.4904461273688137], ["offsid", 0.45627862726987123], ["save", 0.38418666376476945], ["gulasci", 0.2898451879675152], ["kant", 0.2898451879675152], ["gulacsi", 0.256525330888556], ["fuck", 0.2394235525584789], ["miss", 0.2142651912133009], ["anyway", 0.21150605727888805], ["doubl", 0.14791647817793746]]</t>
  </si>
  <si>
    <t>Kante is just so so so so so so good man. Griezmann was lucky he was offside how did he miss that. Credit to Gulacsi on the double save as well. Thought he should've done better with the first save but he reacted very well with the second save.</t>
  </si>
  <si>
    <t>[["header", 0.8164965809277261], ["giroud", 0.4082482904638631], ["deliveri", 0.4082482904638631]]</t>
  </si>
  <si>
    <t>Giroud would have 2 goals by now. 8 yards out free header 200 mill mbappe get fucked. Lucas Digne deliveries are top notch. 👌 #HUNFRA. That was such a beautiful delivery from Digne from the left flank. 👌👌. Mbappe should do better with that header.</t>
  </si>
  <si>
    <t>[["kimpemb", 1.0]]</t>
  </si>
  <si>
    <t>Kimpembe cannot do that. He's fortunate not to get carded. #HUNFRA. I would definitely take Kimpembe at Manchester United. Kimpembe, what was that? 🤦‍♂️. Don't rate kimpembe at all. Kimpembe body checked him #HUNFRA. France will not win this tournament starting Kimpembe.</t>
  </si>
  <si>
    <t>[["pogba", 0.5773502691896257], ["header", 0.5773502691896257], ["live", 0.5773502691896257]]</t>
  </si>
  <si>
    <t>Pogba i love u man. .. And Paul Pogba ♥️. Give the FK to Pogba he's scoring. Updated Headers stats for Mbappe. #HUNFRA. Look at Pogba balling😍 Pogba playing for France is so amazing to watch. Link to watch live please #HUNFRA. 🔴Live Hungary 🇭🇺 vs France 🇫🇷. EURO 2020..</t>
  </si>
  <si>
    <t>[["szalai", 0.5773502691896257], ["freekick", 0.5773502691896257], ["kick", 0.3911403617921743], ["free", 0.37062917122859096], ["mbapp", 0.20730790661435994]]</t>
  </si>
  <si>
    <t>*Szalai my bad, and good he was taken off. Wtf does Mbappe know about freekicks mara 🤦🏽‍♂️. Imagine getting subbed on and taking an Mbappe freekick to the dome 20 seconds later. I'd retire. Mbappe taking free kicks for France? Why tf is Pogba not there #HUNFRA.</t>
  </si>
  <si>
    <t>[["sitter", 0.4455164654841288], ["miss", 0.40639757456951553], ["giroud", 0.3003948237604865], ["finish", 0.2658028775436583], ["flick", 0.2658028775436583], ["hell", 0.2658028775436583], ["ff", 0.2658028775436583], ["bad", 0.2658028775436583], ["bumzema", 0.2658028775436583], ["bring", 0.22707014830449931], ["benzema", 0.21009135885374866], ["fuck", 0.1628274873768996]]</t>
  </si>
  <si>
    <t>@vxctorutd 30 and u missed this sitter by Griezmann 😭. Look at that ball from grizzou and the flick by mbappe 😍😍. Giroud would be easily finishing these chances that Benzema is shanking. Grizzy and mbappe combine to create a chance and then there's bumzema.</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</si>
  <si>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</si>
  <si>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[["tho", 0.4472135954999579], ["net", 0.4472135954999579], ["assist", 0.4472135954999579], ["lol", 0.4472135954999579], ["everyth", 0.3554337574548521], ["except", 0.19543488557815256], ["finish", 0.18834024944387154]]</t>
  </si>
  <si>
    <t>Benzema that should be at the back of the net. That second touch from Mbappe was lovely tho. LOOOOOL that’s poor from Benzema, my guy Giroud scores that. What an assist that would have been for Mbappe 😤. Mbappe did everything, except for the finish.</t>
  </si>
  <si>
    <t>[["ff", 0.408248290463863], ["compar", 0.408248290463863], ["control", 0.408248290463863], ["rabiot", 0.408248290463863], ["finish", 0.408248290463863], ["feet", 0.33800477069388807], ["quick", 0.22895292453873312]]</t>
  </si>
  <si>
    <t>Mbappe will finish his career as the goat. Digne is very good but dont compare him to KT. Mbappe and Benzema would've had France 2 up in minutes... Should've finished that. Bring on giroud ffs. These lot struggling to score against hungry. What is rabiot doing in this French team?</t>
  </si>
  <si>
    <t>[["stink", 0.5], ["ff", 0.5], ["aw", 0.5], ["bring", 0.5]]</t>
  </si>
  <si>
    <t>Benzema stinks so far, bring on the go kart guy. Benzema and mbappe doing everything they can to not score, just need 1 goal each ffs. Benzema has been awful! Lacazette would bring more to this France team. Bring on Giroud man, take this fraud off.</t>
  </si>
  <si>
    <t>[["madrid", 0.5], ["rabiot", 0.5], ["stink", 0.5], ["pogba", 0.5]]</t>
  </si>
  <si>
    <t>I'm not sure Rabiot has had up to 5 touches in this game. Rabiot is so so bad. Benzema ball dey stink ffs. Rabiot is out there just running around. Loooool you see it but he’s been stinking. Pogba I love you 😭😭😭. Is Rabiot the one sitting? Benzema for Madrid Vs for France.</t>
  </si>
  <si>
    <t>[["kimpemb", 0.7071067811865475], ["miss", 0.7071067811865475]]</t>
  </si>
  <si>
    <t>Kimpembe evolved... a lot! @anshid4569 France missing giroud EURO 2020 #FRAHUN. Kimpembe to be carded ⚡. @FrenchTeam Benzema is missing many chances today 🤪. Can't believe that farmer kimpembe hasn't been tested this tournament yet. Kimpembe pulled a Harden on that foul.</t>
  </si>
  <si>
    <t>[["llori", 0.34162510049168343], ["hunfra", 0.21748597219004573], ["shit", 0.21748597219004573], ["fuck", 0.21748597219004573], ["fiola", 0.21748597219004573], ["wow", 0.21748597219004573], ["varan", 0.21748597219004573], ["lead", 0.21748597219004573], ["bring", 0.21748597219004573], ["mud", 0.21748597219004573], ["wtf", 0.21748597219004573], ["deschamp", 0.21748597219004573], ["btw", 0.21748597219004573], ["crazi", 0.21748597219004573], ["kimpemb", 0.21748597219004573], ["omg", 0.21748597219004573], ["happen", 0.21748597219004573], ["hungria", 0.21748597219004573], ["woman", 0.16338396151682397], ["near", 0.1513673242160025], ["poor", 0.14354730655264247], ["post", 0.0947499766947013]]</t>
  </si>
  <si>
    <t>Lloris is done out here, beaten at his near post, got down like he was fucking 84 yrs old. Fiola nearly takes this woman out with his celebration 😁. Varane easy target for fans since that city game... whatever happens they put that on varane's head and bounce.</t>
  </si>
  <si>
    <t>[["god", 0.20412414523193148], ["ff", 0.20412414523193148], ["celebr", 0.20412414523193148], ["lmao", 0.20412414523193148], ["lose", 0.20412414523193148], ["honfra", 0.20412414523193148], ["great", 0.20412414523193148], ["frahun", 0.20412414523193148], ["kimpemb", 0.20412414523193148], ["atmospher", 0.20412414523193148], ["fault", 0.20412414523193148], ["lol", 0.20412414523193148], ["expos", 0.20412414523193148], ["conced", 0.20412414523193148], ["beauti", 0.20412414523193148], ["yellow", 0.20412414523193148], ["ramo", 0.20412414523193148], ["attila", 0.20412414523193148], ["kant", 0.20412414523193148], ["deserv", 0.20412414523193148], ["desk", 0.17858610211753576], ["price", 0.17785874112393982], ["woman", 0.1621201329802118], ["chanc", 0.14675190553455078], ["miss", 0.14188215140969965], ["tabl", 0.12403116200836421], ["varan", 0.10016453899696247], ["smash", 0.09886187737005482]]</t>
  </si>
  <si>
    <t>Hungary should attack that Pavard side, he is on a yellow. Good goal #Hun and desk smashing celebration to boot 🤣. France deserve that with the missed chances. Griezmann is at fuck all. Varane is so bad man, how did we not expose him in the first game 😭.</t>
  </si>
  <si>
    <t>[["dey", 0.5345399283044394], ["kant", 0.4007828368637207], ["rabiot", 0.2672699641522197], ["atmospher", 0.2672699641522197], ["shit", 0.2672699641522197], ["halftim", 0.2672699641522197], ["dribbl", 0.23153303556566465], ["miss", 0.2201150459167899], ["ballon", 0.20808241200213257], ["woman", 0.191999059134792], ["desk", 0.18592900534688886], ["dor", 0.1677347416407929], ["chanc", 0.15160013291213922]]</t>
  </si>
  <si>
    <t>This is the kante you people want to give ballon d’or? e ti sick. Why Kante try to dribble every time he got the ball????? France are not taking there chances, benzema missing a sitter. @Mr_kunlecole Benz dey miss chances but dey go still win mbappe and Greiz dey find spaces.</t>
  </si>
  <si>
    <t>[["wast", 0.593500249920548], ["pogba", 0.4646144235549217], ["mbapp", 0.32045093643220135], ["hungri", 0.32045093643220135], ["scene", 0.32045093643220135], ["need", 0.2481933638703183], ["utd", 0.1846392749527279], ["chanc", 0.16772857557320803]]</t>
  </si>
  <si>
    <t>#HUNFRA where is @_OlivierGiroud_ a lot of chances wasted could be goals if it was him. Euro live on France vs Hungry. Hungry complete 1 st goal. Hungry 1- France 0. EURO 2020 sopanali 21 # Digital marketer.. @StillJenz Not when I have pogba and Mbappe in my fantasy.</t>
  </si>
  <si>
    <t>Pavard</t>
  </si>
  <si>
    <t>[["bring", 0.7071067811865476], ["benz", 0.4714045207910317], ["stinker", 0.23570226039551584], ["shit", 0.23570226039551584], ["scene", 0.23570226039551584], ["rabiot", 0.23570226039551584], ["slander", 0.23570226039551584]]</t>
  </si>
  <si>
    <t>@Loux11_ Mbappe and benz should have 2 goals each rn 😂. Benzema Kane back to back stinkers for their countries, international football ain’t for everyone. If it will take Giroud to win the game abeg bring am. @de_mola100 You don't see the need to bring on Giroud in this game?</t>
  </si>
  <si>
    <t>Nikolic for Szalai</t>
  </si>
  <si>
    <t>[["celebr", 0.5621366598380605], ["bell", 0.5238979531208493], ["donni", 0.4763283415418651], ["stinker", 0.28106832991903025], ["smile", 0.27410795840182467], ["boy", 0.11960338987077818], ["tito", 0.1191850310005365]]</t>
  </si>
  <si>
    <t>Hungary have won celebration of the tournament.. EURO 2020.. "Belle, mag smile ka smile lang" -Donny. "Why? I'm smiling naman" -Belle. Belle smiles Meanwhile Donny. at the copying Belle's. camera. smile. DONBELLEx Boy Abunda.</t>
  </si>
  <si>
    <t>Fiola</t>
  </si>
  <si>
    <t>[["bring", 0.8944271909999159], ["pogba", 0.4472135954999579]]</t>
  </si>
  <si>
    <t>It’s @_OlivierGiroud_ time please bring him on #FRAHUN #fra. Bring on Giroud and he will win you the game. Pogba again. What are you doing my guy. How to not bring it home 🙃 #ENG EURO 2020. Get this Benzema don off and bring on the real french no.9…..@_OlivierGiroud_</t>
  </si>
  <si>
    <t>[["celebr", 1.0]]</t>
  </si>
  <si>
    <t>#HUN Goal Celebration 😳😂. The goal celebration though🔥🔥#HUNFRA. I want to be in the middle of this. Celebration!. #HUNFRA. Hungary have won celebration of the tournament.. EURO 2020.. Hungary celebrating the goal #HUNFRA. That goal celebration for Hungary😂#HUNFRA EURO 2020.</t>
  </si>
  <si>
    <t>[["rabiot", 0.8164965809277261], ["pavard", 0.4082482904638631], ["chanc", 0.3209823241508263], ["miss", 0.2522637791071096]]</t>
  </si>
  <si>
    <t>Benzema after missing his first big chance vs Hungary. @Kavinburner No but He'd do much better than Pavard. Rabiot is such a waste of a player. Rabiot needs to come off man. He’s been ass. Get Rabiot as far away from this team as possible. Rabiot is just not doing it for me.</t>
  </si>
  <si>
    <t>Botka</t>
  </si>
  <si>
    <t>[["celebr", 0.5773502691896257], ["kimpemb", 0.5773502691896257], ["bell", 0.4393860349150275], ["donni", 0.3745307005506806]]</t>
  </si>
  <si>
    <t>Hungary have won celebration of the tournament.. EURO 2020.. Kimpembe is just a disgrace of a player. Donny: i told belle, i just got a place recently. Tito Boy: why did you tell belle? Donny: because nagkukwento lang kami. DONBELLEx Boy Abunda.</t>
  </si>
  <si>
    <t>Dembélé for Rabiot</t>
  </si>
  <si>
    <t>[["sub", 0.6824510710034081], ["celebr", 0.3930661970247357], ["dembel", 0.3930661970247357], ["fiola", 0.2841920039207179], ["attila", 0.2715436247659205], ["deschamp", 0.20248714935293918], ["dembooti", 0.17250038928291356]]</t>
  </si>
  <si>
    <t>France need a goal and Deschamps subs on Dembooty 💀. Dembele for rabiot is a good change i was just thinking about. Next sub for France is likely going to be Benzema off for Giroud. Fiola with the best celebration of the tournament 🇭🇺.</t>
  </si>
  <si>
    <t>Griezmann</t>
  </si>
  <si>
    <t>[["ousman", 0.7198683994807399], ["deschamp", 0.38527364793991126], ["shit", 0.38527364793991126], ["lmao", 0.38527364793991126], ["dembel", 0.1910029738989887]]</t>
  </si>
  <si>
    <t>Deschamps wasn't impressed with this miss from Benzema 👀. France needs goals and they bring on Ousmane Dembele???? I know he’s been a bit inconsistent for Barca, but I still really like Ousmane Dembele. Ousmane done more in 2 minutes than Rabiot has done in 4 years.</t>
  </si>
  <si>
    <t>Cseri for Schafer</t>
  </si>
  <si>
    <t>[["varan", 1.0]]</t>
  </si>
  <si>
    <t>@MustiAhmad123 Varane was out of his place. Varane and Kante have no help like what is this. @OnIyWs @AFCMet Ye those 2 are Varane and Sancho. Varane is not even better than zouma. What being linked to United has done to varane🤣🤣🤣🤣🤣🤣🤣. Varane had a poor game so far EURO 2020.</t>
  </si>
  <si>
    <t>Tolisso for Pogba</t>
  </si>
  <si>
    <t>[["bell", 0.5412122731236875], ["donni", 0.4626718793578538], ["stinker", 0.4320804731071096], ["pavard", 0.4320804731071096], ["smile", 0.230026544217936], ["tito", 0.18367261383603234], ["boy", 0.1816290088962364]]</t>
  </si>
  <si>
    <t>"Belle, mag smile ka smile lang" -Donny. "Why? I'm smiling naman" -Belle. Belle smiles Meanwhile Donny. at the copying Belle's. camera. smile. DONBELLEx Boy Abunda. Benjamin Pavard has not had a good game at all... Pavard wants to wrap this stinker with a red card.</t>
  </si>
  <si>
    <t>Giroud for Benzema</t>
  </si>
  <si>
    <t>[["griezmann", 0.32368005406387834], ["sent", 0.20800770531362142], ["hungri", 0.20800770531362142], ["llori", 0.20800770531362142], ["ff", 0.20800770531362142], ["equalis", 0.20800770531362142], ["danc", 0.20800770531362142], ["shit", 0.20800770531362142], ["rout", 0.20800770531362142], ["fast", 0.20800770531362142], ["grizou", 0.20800770531362142], ["bring", 0.20800770531362142], ["griezman", 0.20800770531362142], ["fiola", 0.20800770531362142], ["back", 0.20800770531362142], ["assist", 0.20800770531362142], ["differ", 0.20800770531362142], ["class", 0.20800770531362142], ["though", 0.20800770531362142], ["lol", 0.20800770531362142], ["celebr", 0.17287889751047497], ["bell", 0.15234800519855715], ["donni", 0.14162376489085005]]</t>
  </si>
  <si>
    <t>That ball by lloris and the work by mbappe class. I was about to shit on griezmann but he scored well done. Griezmann how you celebrating like that 😂😂😂😂 it’s a equaliser. Griezmann has had such a shitty game then he scored a tap in and starts dancing lol.</t>
  </si>
  <si>
    <t>Lovrencsics for Kleinheisler</t>
  </si>
  <si>
    <t>[["dey", 0.31622776601683794], ["pace", 0.31622776601683794], ["fuck", 0.31622776601683794], ["hungaryv", 0.31622776601683794], ["beauti", 0.31622776601683794], ["fraud", 0.31622776601683794], ["bounc", 0.31622776601683794], ["equal", 0.31622776601683794], ["ousman", 0.2599780034626065], ["hugo", 0.2578640468208988], ["llori", 0.18304680646531174], ["dembel", 0.18003176862875322]]</t>
  </si>
  <si>
    <t>Benzema no dey play anything but he still dey pitch top tsw. Why is that Hungarian central defender letting that ball bounce off the Lloris punt? Defending 101: get your head on that ball; never let it bounce. Ousmane Dembele, good to see you back in action #hunfra.</t>
  </si>
  <si>
    <t>Lemar for Dembélé</t>
  </si>
  <si>
    <t>[["pogba", 0.8164965809277259], ["dembel", 0.40824829046386296], ["deprem", 0.17635209461917065], ["taehyung", 0.17635209461917065], ["mick", 0.17635209461917065], ["jimin", 0.17630999209691237], ["light", 0.13402668996838135], ["honfra", 0.11628868725683068], ["happi", 0.10389926427048936]]</t>
  </si>
  <si>
    <t>Dembele x Mbappe clinic 🇫🇷. It was pogba’s goal. Let your customers have the best purchase experience with the right sales funnel. Check below link to follow steps:. #deprem. #HONFRA. #おかゆの梅雨ライブ. TAEHYUNG OUR HAPPINESS. Benzema. JIMIN OUR LIGHT. Mick. @fiverr.</t>
  </si>
  <si>
    <t>[["dembel", 0.7071067811865476], ["deschamp", 0.5098135689241429], ["didier", 0.48998992330539637]]</t>
  </si>
  <si>
    <t>I love didier deschamps man EURO 2020. Look at Dembele here. Deschamps to Mbappe at HT. @thatEsselguy Dembele and Mbappe. CAR MOTO. Dembele iswho people thinks mbappe is. They used to say Dembele Mbappe. Griezmann and Dembele showing levels to Mbappe and Benzema✍️. Euro 2020.</t>
  </si>
  <si>
    <t>[["sallai", 0.5773502691896257], ["tolisso", 0.28867513459481287], ["fuck", 0.28867513459481287], ["deschamp", 0.28867513459481287], ["incom", 0.28867513459481287], ["winner", 0.28867513459481287], ["sub", 0.28867513459481287], ["honfra", 0.28867513459481287], ["mon", 0.2455268613107483], ["gar", 0.15182191445317067]]</t>
  </si>
  <si>
    <t>Fuck it Mbappe down there just has to be the move. Giroud and Tolisso in now, big impact from them incoming. Deschamps has always been a Benzema fan on the low. Giroud to come on and score the winner 🕯 🕯. France need a goal and they sub on Tolisso for Pogba 😭😭.</t>
  </si>
  <si>
    <t>[["stinker", 0.7071067811865475], ["donni", 0.3621407538040908], ["bell", 0.31691944636890296], ["boy", 0.2781866471337161], ["tito", 0.2597374763273969], ["donbellex", 0.2064261308420833], ["abunda", 0.2064261308420833], ["lang", 0.195809286567679]]</t>
  </si>
  <si>
    <t>Tito boy: Donny are you into belle? Donny at the back of his mind: "wait lang tito boy iniistress mo ko agad." DONBELLEx Boy Abunda. This is the pogba I know proper stinker 🤣. Ngl this has been a Benzema stinker. @toocheis Benzema stinker tbf. But shouldn’t take pogs off.</t>
  </si>
  <si>
    <t>[["ousman", 0.8461531227424253], ["dembel", 0.5329398585893557]]</t>
  </si>
  <si>
    <t>Ousmane Dembele is fucking horrible. Ousmane dembele turn the ball over every possession challenge. Ousmane Dembele paaa wey he lose all en dribbling so? Ousmane Dembele either plays world class or Sunday league football, nothing in between.</t>
  </si>
  <si>
    <t>[["hook", 0.408248290463863], ["gulacsi", 0.408248290463863], ["tolisso", 0.408248290463863], ["finish", 0.408248290463863], ["miss", 0.359449482162573], ["assist", 0.28359934724984337], ["rob", 0.2508532031916899], ["mbapp", 0.19355292929771115], ["merci", 0.15267857529659534]]</t>
  </si>
  <si>
    <t>@chisenga_cb Deschamps took long. Should have been hooked at HT. @dannydoes Lol seeing Tolisso now I can never forget when u wanted tolisso bakayoko pivot and bin Kante. 😂😂😂. What a good one two from giroud to mbappe, mbappe should have finished that.</t>
  </si>
  <si>
    <t>[["shouldv", 0.7071067811865475], ["touch", 0.7071067811865475]]</t>
  </si>
  <si>
    <t>Mbappe should’ve scored there. Mbappe is a weirdo should’ve squared it to Giroud. Giroud what a touch. Tolisso should’ve started. Mbappe should’ve passed to giroud, but didn’t. Love to see. Fool that ball should’ve been laid for Giroud. Mbappe that's was all some touch lad 😂.</t>
  </si>
  <si>
    <t>[["michel", 0.7083976674562409], ["platini", 0.7058135339751974]]</t>
  </si>
  <si>
    <t>Only Michel Platini (9) has scored more European Championship goals than Antoine Griezmann (7) for #FRA. Two away from tying him. 🇫🇷. Only Cristiano Ronaldo and Michel Platini have scored more European Championship goals than Antoine Griezmann 🥉. #FRA | #ITVFootball | Euro 2020.</t>
  </si>
  <si>
    <t>[["dembel", 0.5322402349443787], ["lemar", 0.35325967179311935], ["deschamp", 0.35325967179311935], ["kart", 0.35325967179311935], ["sub", 0.35325967179311935], ["injur", 0.35325967179311935], ["ousman", 0.3045625612734443]]</t>
  </si>
  <si>
    <t>Lemar is about to come on, if there's any justice... Ousmane Dembele injured himself coming off the bench also. 😭. This guy is really not going to have a good football career, unfortunately. Dembele asking Deschamps why he subbed him on just to take him off.</t>
  </si>
  <si>
    <t>[["stinker", 0.7071067811865476], ["throw", 0.5948754758766664], ["bottl", 0.3822606024697152]]</t>
  </si>
  <si>
    <t>Valverde and Benzema stinker in the same day. All that Benzema gas only for him to drop these stinkers. No one is talking about this Kante stinker. Ballon d'or? 🤣😭😭. France fans, what are they doing throwing bottles 🤮 EURO 2020. Stop throwing sh*t on the pitch lol. #HUNFRA.</t>
  </si>
  <si>
    <t>[["header", 0.5], ["dive", 0.5], ["penalti", 0.5], ["pen", 0.5]]</t>
  </si>
  <si>
    <t>This has a Giroud header all over it. Kante with a classy dive 🔥. Kante diving ??? wow.. they really are desperate 🤷‍♂️🤷‍♂️. If this is a pen INSHALLAH Mbappe takes it. That's got to be a pen.... #FRA EURO 2020. Give the pen to giroud. That has to be a penalty EURO 2020.</t>
  </si>
  <si>
    <t>[["dey", 0.3333333333333333], ["varan", 0.3333333333333333], ["result", 0.3333333333333333], ["fuck", 0.3333333333333333], ["header", 0.3333333333333333], ["champion", 0.3333333333333333], ["celebr", 0.3333333333333333], ["drew", 0.3333333333333333], ["deserv", 0.29248479043552844], ["point", 0.15988670512270906]]</t>
  </si>
  <si>
    <t>Well that result has made me feel it bit better about yesterday’s result. #HUNFRA. Varane is a trash can what in the fuck was that header. Ireland drew with Hungary a few weeks ago. Hungary drew with France today. So Ireland are as good as the World Champions 🤷🏻‍♂️ 🇮🇪 Euro 2020.</t>
  </si>
  <si>
    <t>[["offsid", 0.8009360076964174], ["save", 0.4125761588368204], ["anyway", 0.3575452694268919], ["doubl", 0.2458532184967899]]</t>
  </si>
  <si>
    <t>Griezmann what are you doing?? He had the entire goal and he kicks it right back into the keeper. Maybe offsides anyways. That finish by Griezmann was shockingly bad, idc if he was offside or not. Griezmann 😭🤣. Offside or no offside that should have been behind the net ffs.</t>
  </si>
  <si>
    <t>[["mbapp", 0.7071067811865475], ["header", 0.7071067811865475]]</t>
  </si>
  <si>
    <t>Mbappe with another free header wa o. What a ball from Lucas Digne Mbappe header just wide #HUN #FRA. Free header by Mbappe. Missed.. EURO 2020. Digne and Mbappe link up. Mbappe I NEED a goal. 8 yards out free header 200 mill mbappe get fucked. Mbappe should have scored.</t>
  </si>
  <si>
    <t>[["freekick", 0.7071067811865476], ["free", 0.5070410979393628], ["kick", 0.49285832142761427]]</t>
  </si>
  <si>
    <t>Why is mbappe taking free kicks? 😭. Thats the first time ive ever seen Mbappe take a freekick. Get pogna on freekicks why is mbappe taking them. Imagine getting subbed on and taking an Mbappe freekick to the dome 20 seconds later. I'd retire. Why is Mbappe on free kick duty 😭.</t>
  </si>
  <si>
    <t>[["assist", 0.5149113634503429], ["rob", 0.33396548110857854], ["ff", 0.33008996185357414], ["touch", 0.33008996185357414], ["miss", 0.33008996185357414], ["though", 0.33008996185357414], ["benzema", 0.31729021576622735], ["target", 0.2324740807460136], ["hit", 0.18104843084645952]]</t>
  </si>
  <si>
    <t>Why is Giroud not warming up? Get Benzema out ffs. The ball from Griezmann to start it off though, even better. Benzema had to mess it all up though... That was easier to score than to miss and Benzema still missed it 😂. Mbappe was robbed of what been the best assist in the euros.</t>
  </si>
  <si>
    <t>[["ff", 0.8944271909999159], ["wouldv", 0.4472135954999579]]</t>
  </si>
  <si>
    <t>Waiting for the “Giroud would’ve scored this” tweets. Bring on giroud ffs. These lot struggling to score against hungry. Mbappe is so good ffs. Benzema reeks for France man, get Giroud on ffs. Benzema has been awful, again. FFS. Benzema is having a mare this half ffs.</t>
  </si>
  <si>
    <t>[["wow", 0.5000000000000001], ["lead", 0.5000000000000001], ["ff", 0.5000000000000001], ["near", 0.3509515408146967], ["llori", 0.2935497655687472], ["post", 0.20164709552662516]]</t>
  </si>
  <si>
    <t>Wow. Hungary have just taken the lead against France. 🤯 1-0. Euro 2020. And #Hun take the lead here. 1-0. The atmosphere right now in the crowd. 🔥. Lloris shouldn’t be getting beaten at his near post like that. Hungary lead the world champions! 60,000 fans go mad in Budapest!</t>
  </si>
  <si>
    <t>[["conced", 0.5773502691896256], ["yellow", 0.5773502691896256], ["dribbl", 0.49318851118230156], ["kant", 0.30016399812622124]]</t>
  </si>
  <si>
    <t>Hungary should attack that Pavard side, he is on a yellow. France conceded 🤦‍♂️#HUNFRA. We have a game boi. Pavard on yellow cannot make any challenge. Varane should have had a yellow card early in the match too. not a good match from him. Kante trying to dribble 😭.</t>
  </si>
  <si>
    <t>[["troll", 0.7071067811865475], ["tudn", 0.5120557829379555], ["usa", 0.4876462602745941]]</t>
  </si>
  <si>
    <t>Troll Football Giroud is clear tho 💯. B/R Football TUDN USA Kimpembe needed to come across ffs. B/R Football TUDN USA wtf was Pavard doing there. B/R Football TUDN USA The atmosphere inside the Puskas Arena is lethal🔥👌👏. Troll Football Giroud is better than Benzema in France.</t>
  </si>
  <si>
    <t>The UEFA official loving the Hungary goal celebrations there... #HUNFRA. Best celebration #HUNFRA. #HUN Goal Celebration 😳😂. Well she wasn’t expecting that goal celebration 😂 #HUNFRA. The goal celebration though🔥🔥#HUNFRA. That goal celebration for Hungary😂#HUNFRA EURO 2020.</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</si>
  <si>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</si>
  <si>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BEST PLAYER IN FRANCE HISTORY POGBA. Pogba is some player. Pogba balling again. Pogba and Mbappe are balling. Pogba for France is a different player ❄️ ❄️. Pogba is such a lovely player for France yc.</t>
  </si>
  <si>
    <t>[["rabiot", 1.0]]</t>
  </si>
  <si>
    <t>Take off Rabiot and F1. They need to take Rabiot off, e no sabi. Take Rabiot off. Big fool. Rabiot is not great at football. How is Rabiot a professional Player?? Rabiot is such a waste of a player. Rabiot needs to come off NOW! Rabiot is stealing a living. Rabiot out France win.</t>
  </si>
  <si>
    <t>[["sub", 0.697559073742398], ["deschamp", 0.5398683058642221], ["dembooti", 0.4711194657015803]]</t>
  </si>
  <si>
    <t>Does Deschamps know he can make 5 subs ? #FRA EURO 2020. Deschamps making an attacking sub? Wow. France need a goal and Deschamps subs on Dembooty 💀. Good sub that #HUNFRA.</t>
  </si>
  <si>
    <t>[["ousman", 0.8746014807822551], ["dembel", 0.484842500007463]]</t>
  </si>
  <si>
    <t>Have always liked Ousmane Dembele. What a player. France needs goals and they bring on Ousmane Dembele???? An injury free season for Ousmane Dembele 🕯🙏🏿. Ousmane dembele gonna save these lot. Ousmane Dembele agains the post. Ousmane Dembele fake shot so OP.</t>
  </si>
  <si>
    <t>[["ff", 0.4472135954999579], ["assist", 0.4472135954999579], ["equalis", 0.4472135954999579], ["llori", 0.4472135954999579], ["duboi", 0.3176451779414476], ["clear", 0.3148039722280296]]</t>
  </si>
  <si>
    <t>Dubois Giroud is miles clear of that sex tape fraud. Griezmann how you celebrating like that 😂😂😂😂 it’s a equaliser. Lloris just set up a goal in a critical situation? That is not Lloris im sorry. Can't believe that's not gone down as an mbappe assist.</t>
  </si>
  <si>
    <t>[["griezmann", 0.5188924029201677], ["griezman", 0.41679523399596663], ["bounc", 0.41679523399596663], ["poor", 0.3460030290977338], ["equal", 0.2898110095800789], ["antoin", 0.2729714966998814], ["defend", 0.23237936856989985], ["level", 0.2260354256794247]]</t>
  </si>
  <si>
    <t>See what happens when Mbappe can pass the ball!!! Griezman. Antoine Griezmann scores and it’s 1-1. France 🇫🇷 back in the game. EURO 2020 #France. Defenders dem fe neva mek that ball bounce from LLoris kicked it out, poor defending. Griezmann scores but the goal is not nice 😐.</t>
  </si>
  <si>
    <t>[["assist", 0.4822416100789527], ["fantasi", 0.38602654825651816], ["tip", 0.34413156430298186], ["jimin", 0.30448681669671873], ["deprem", 0.30448681669671873], ["taehyung", 0.30448681669671873], ["mick", 0.30448681669671873], ["light", 0.2356563844060096], ["honfra", 0.2033239564325028], ["happi", 0.17965675901817862]]</t>
  </si>
  <si>
    <t>Let your customers have the best purchase experience with the right sales funnel. Check below link to follow steps:. #deprem. #HONFRA. #おかゆの梅雨ライブ. TAEHYUNG OUR HAPPINESS. Benzema. JIMIN OUR LIGHT. Mick. Fiverr. Euro 2020 Fantasy Football Updates &amp; Tips Give mbappe assist 🗑.</t>
  </si>
  <si>
    <t>[["sub", 0.5773502691896256], ["hook", 0.5773502691896256], ["sallai", 0.5040227290131114], ["roland", 0.281592652552422]]</t>
  </si>
  <si>
    <t>Roland Sallai is the most fouled player in the match (6 times). #HUN. Sub put Pogba means you are settled with the on going. France need a winner, Benzema and Pogba hooked 👀 Say it ain't so. Very good Subs from #FRA now go on and win the game..</t>
  </si>
  <si>
    <t>[["bring", 0.8321204766658302], ["need", 0.5545949083010334]]</t>
  </si>
  <si>
    <t>France need a goal and they bring on Giroud 😂😂🤣🤣. B/R Football Now Bring Giroud on.. we need some goals. France need a goal and bring on Olivier Giroud 😹😹😹. France need a goal and they bring on Giroud! #HUNFRA EURO 2020. 𝐀𝐅𝐂 𝐀𝐉𝐀𝐗 💎 They need goals. And he brings Tolisso on.</t>
  </si>
  <si>
    <t>[["touch", 0.7071067811865475], ["assist", 0.5467142952425051], ["rob", 0.4484456258873431]]</t>
  </si>
  <si>
    <t>Look at the touch from Giroud. Giroud robbed of an assist. Merci Kylian. Giroud's subtle touches should be appreciated. Mbappe that's was all some touch lad 😂. Mbappe robbing Giroud of an assist 😪. Giroud close to an assist after being on the pitch for 3 minutes‼️‼️.</t>
  </si>
  <si>
    <t>[["lemar", 0.7071067811865475], ["michel", 0.33429980584914754], ["platini", 0.3231937486487161], ["championship", 0.3191319453052791], ["antoin", 0.3113490309511462], ["european", 0.2915579240135025]]</t>
  </si>
  <si>
    <t>Most goals in European Championship history: 🇵🇹 Cristiano Ronaldo - 11. 🇫🇷 Michel Platini - 9. 🇫🇷 Antoine Griezmann - 7. EURO 2020 🔥. Bringing on no end product Lemar? Deschamps don’t really wanna win. Euro 2020 live score: Lemar comes on for Dembele; Hungary 1-1 France.</t>
  </si>
  <si>
    <t>[["sub", 0.8516938880102835], ["ousman", 0.4430458518621722], ["dembel", 0.27987121015504435]]</t>
  </si>
  <si>
    <t>57' Ousmane Dembele is subbed on. 87' Ousmane Dembele is subbed off.. A sub-sub in the second group game is a major red flag for all France to win the tournament bets Euro 2020. Dembele came in as a sub and now he's getting subbed? Euro 2020.</t>
  </si>
  <si>
    <t>[["dive", 0.5773502691896257], ["penalti", 0.5773502691896257], ["pen", 0.5773502691896257]]</t>
  </si>
  <si>
    <t>Crying kante dived😭😭. What a cheat Kante is, took a dive to get that free kick 🤡 #hun #fra. If this is a pen INSHALLAH Mbappe takes it. That's got to be a pen.... #FRA EURO 2020. That’s a pen. #HUNFRA. Give the pen to giroud. That has to be a penalty EURO 2020.</t>
  </si>
  <si>
    <t>[["varan", 0.5773502691896256], ["sub", 0.5773502691896256], ["rugbi", 0.48607504089364056], ["tackl", 0.3115515815295742]]</t>
  </si>
  <si>
    <t>VARANE WHAT A PLAYER! I don’t like the phrase he has to score, but varane has to score there. Subbing for pogba was a mistake. Rugby tackled Kimpembe?😂. Pogba subbed off because he is a liability? We are clear. France needs a goal and they sub off Pogba? Good luck with that.</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</si>
  <si>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</si>
  <si>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</si>
  <si>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</si>
  <si>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 YELLOW SIUUUU. Pavard’s looking to get a red card. Pavard is gonna get cooked after that yellow on that flank. 📸 - Pavard on a yellow card already, within 10 minutes..</t>
  </si>
  <si>
    <t>[["offsid", 0.890075102199083], ["griezmann", 0.34513314413987584], ["save", 0.29774053345390405]]</t>
  </si>
  <si>
    <t>Griezmann is lucky he’s offside how the fuck did he miss😂😂😂😂😂. Griezmann eh score that wtf lmao even if it offside. Offside but Griezmann has to find the back of the net there. Griezmann’s blushes saved by that offside because that was an absolutely terrible finish.</t>
  </si>
  <si>
    <t>[["kant", 0.632680144500135], ["dign", 0.49864588718996833], ["mbapp", 0.40020487512213837], ["world", 0.32980859920291], ["cross", 0.2329562562142384], ["score", 0.1669186701802758]]</t>
  </si>
  <si>
    <t>Kante what a run! Hand him the ball on d'or asap! Grieman is crazy... so this is what Braça fans face 😂 that pass from Kante. Kante is the best player in the world at the moment. No cap. Digne's crosses are so good. Mbappe should have done better with that.</t>
  </si>
  <si>
    <t>[["mbapp", 1.0]]</t>
  </si>
  <si>
    <t>Mbappe with another free header wa o. Mbappe ffs. Digne and Mbappe link up. 8 yards out free header 200 mill mbappe get fucked. Quase gol do mbappe. We’ve only made one 100m+ signing in 7 years ffs. Wake up Real Madrid C.F. sancho haaland and mbappe are all available.</t>
  </si>
  <si>
    <t>[["mbapp", 0.7500085888527982], ["freekick", 0.44877933127783853], ["free", 0.42832678065585933], ["kick", 0.22939136304106453]]</t>
  </si>
  <si>
    <t>Why is mbappe taking free kicks? 😭. Why did mbappe take it shud have been griezmann. Get pogna on freekicks why is mbappe taking them. That must’ve hurt bro getting a shot from mbappe to the face😭😭😭. Can these Hungary players stop getting shot in the head I wanna watch Mbappe.</t>
  </si>
  <si>
    <t>[["benzema", 0.8411141180848294], ["giroud", 0.3191332505095261], ["mbapp", 0.1915190840178606], ["player", 0.18972281153380469], ["striker", 0.18877371805370324], ["ff", 0.18509682506028932], ["piss", 0.16277749197041408], ["class", 0.1470164645571202]]</t>
  </si>
  <si>
    <t>Smh look at this pipe of a striker called benzema. Benzema isn’t even half the player giroud is for France. Benzema and mbappe doing everything they can to not score, just need 1 goal each ffs. Benzema is just running and playing passes into the Hungary players man😂😂😂.</t>
  </si>
  <si>
    <t>[["target", 0.5987560600157869], ["mbapp", 0.4699375314923442], ["harri", 0.44564695446122715], ["shot", 0.3574543728915875], ["hasnt", 0.19145967348714302], ["reason", 0.17246639044886203], ["benzema", 0.16695387974858591]]</t>
  </si>
  <si>
    <t>Mbappe hasn’t downloaded free kick juice yet. He’s getting excited🤣. Master class final pass from Mbappe, very poor delivery from Benzema.. EURO 2020. Benzema shot wide, how did he miss that? 🇫🇷. Mbappe is the best footballer in the world man.</t>
  </si>
  <si>
    <t>[["peep", 0.6661294607901976], ["creativ", 0.5533285358083833], ["bring", 0.24330418160149686], ["win", 0.2060037848174704], ["giroud", 0.20453972158797135], ["poor", 0.20050362158697177], ["pitch", 0.18695646145285155], ["touch", 0.17740820253828854]]</t>
  </si>
  <si>
    <t>Mbappe is winning atleast 5 ballon d'Ors. France are winning rn if Giroud is on the pitch. Bring Lemar or Tolisso on for Rabiot, he's not a footballer. 📸 - Another good chance for France to score but Benzema with a poor pass..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</si>
  <si>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</si>
  <si>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</si>
  <si>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[["major", 0.5526948892679924], ["futur", 0.5080762243037846], ["move", 0.484492336119505], ["soccer", 0.4490591118279603]]</t>
  </si>
  <si>
    <t>Griezmann wants an Major League Soccer move in the future 👀.</t>
  </si>
  <si>
    <t>[["unseri", 0.429694994237696], ["champion", 0.42070171542247975], ["job", 0.4023812784438825], ["win", 0.39912110095089703], ["lead", 0.3407216401953296], ["gol", 0.1703608200976648], ["varan", 0.1703608200976648], ["fiola", 0.1496388581944548], ["near", 0.13717789108544806], ["sleep", 0.13717789108544806], ["world", 0.13655990937509166], ["touch", 0.13010338445351624], ["stuff", 0.12966878055451247], ["didier", 0.12735851692089145], ["ff", 0.11995856989205893]]</t>
  </si>
  <si>
    <t>Oh my word !! #Hun has taken the lead !! Fiola has turned the script upside down. What a story this would be if the Hungarians win this! Lloris gets beat at his near post, Pavard ball watching, Varane sleeping at his job. Very unserious stuff all around.</t>
  </si>
  <si>
    <t>[["llori", 0.6229127317124536], ["behind", 0.5474673977265844], ["drill", 0.4998073045460706], ["near", 0.2499036522730353]]</t>
  </si>
  <si>
    <t>Hows Lloris been beaten at his near post like that. Lloris is not a very good keeper is he #HUNFRA. Also, Lloris is a very very average goalkeeper. That’s not on Lloris. Defenders left him one on one. The World Champions are behind! This is not a drill. 😬. EURO 2020 #HUN.</t>
  </si>
  <si>
    <t>[["dribbl", 0.7798638949546419], ["giroud", 0.6259491236084409]]</t>
  </si>
  <si>
    <t>Lol kante dribbling 😂🤦🏾‍♂️. Giroud is Frances best player 👍. Kante Trying To Dribble His Way Outta Pressure. Dude If You Don’t Go Tackle. Kante not having a good game. Forcing dribbles and it is not quite working for him. Kante trying to dribble 😭. Giroud would’ve saved that goal.</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</si>
  <si>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</si>
  <si>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</si>
  <si>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0.8196807807302021], ["itw", 0.3855171437368369], ["sei", 0.21534322806307366], ["kwasia", 0.21534322806307366], ["champion", 0.17675448792617024], ["giroud", 0.17552572998535576], ["2018", 0.15717222067634268]]</t>
  </si>
  <si>
    <t>Chelsea fans are saying Giroud over Benzema forgetting Giroud played 2018 World Cup and got 0 shots on target. Kwasia player sei. 🇭🇺 When you score against the world champions... 🥳 Scenes in Budapest!. EURO 2020.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</si>
  <si>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</si>
  <si>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</si>
  <si>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0.6243280193559876], ["mood", 0.5709433544249672], ["lead", 0.5331399537504162]]</t>
  </si>
  <si>
    <t>Hungary lead at half-time. 🇭🇺1-0 🇫🇷 #HUNFRA Fiersdetre Bleus. #HUN strike first and lead #FRA 1-0 at halftime💥. (🎥: TUDN USA). A shocker in the making? #HUN leads #FRA!. (via ESPN FC). #HUN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</si>
  <si>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</si>
  <si>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</si>
  <si>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[["duck", 0.8100118654370518], ["unbeaten", 0.4731195671136654], ["hungari", 0.34646594791604723]]</t>
  </si>
  <si>
    <t>Hungary will win this. #HUN. I just turned the football on for the second half. Buzzing for Hungary!!! EURO 2020. 🇭🇺 Hungary are unbeaten against France at EURO finals (W3 D1) 💪. EURO 2020. Antoine Griezmann taking a photo of a duck #FRA.</t>
  </si>
  <si>
    <t>[["stood", 0.8185971419459963], ["rabiot", 0.4267331114000397], ["pass", 0.3844444964265817]]</t>
  </si>
  <si>
    <t>Rabiot out France win. Finally, Rabiot off!. Phew! 😒. 🇭🇺🆚🇫🇷 Which players have stood out?. EURO 2020. Benzema with his 200th misplaced pass of the tournament. Benjamin Pavard’s name just invites a pass at a French accent, delightful. Just pass the ball Sterling EURO 2020..</t>
  </si>
  <si>
    <t>[["defend", 1.0]]</t>
  </si>
  <si>
    <t>I hope Chelsea FC is watching how terrible Varane is as a defender. Don't wanna see him anywhere close to our great club. EURO 2020. Love how #HUN defend!!! Varane, Kimpembe and Pavard are useless and overrated defenders ☺.</t>
  </si>
  <si>
    <t>[["greizmann", 0.4810524736288966], ["chaotic", 0.393111708362672], ["let", 0.37354976180970906], ["fulli", 0.3550891304268315], ["sexi", 0.3550891304268315], ["invert", 0.29916787948845996], ["varan", 0.2544889761155872], ["dembel", 0.1474641129643653], ["knee", 0.14492542325059726], ["giroud", 0.11971375976014666], ["ass", 0.10482943501908575]]</t>
  </si>
  <si>
    <t>Dembele given the ball⚽️ away on two occasions since coming on EURO 2020. Varane’s inverted knees is kicking his ass. Very few ppl make it to pro football with inverted knees. Take Greizmann off for Giroud, let’s see big sexy and Benzema together, let’s get fully chaotic.</t>
  </si>
  <si>
    <t>[["assist", 0.5655382790348742], ["gol", 0.4734735947056962], ["llori", 0.3655420927149859], ["mbapp", 0.29409721996004917], ["final", 0.27147514924481314], ["dribbl", 0.18277104637897987], ["bring", 0.1732307985169932], ["red", 0.1681166010642404], ["yellow", 0.1597788489650547], ["equalis", 0.15083389388366328], ["pavard", 0.14905957348376872]]</t>
  </si>
  <si>
    <t>Pavard might see red this game he needs to come off. That ball by lloris and the work by mbappe class. Griezmann how you celebrating like that 😂😂😂😂 it’s a equaliser. That better count as an Mbappe assist coz there was a deflection.</t>
  </si>
  <si>
    <t>[["griezmann", 0.7426761823593213], ["quintupl", 0.5545379604599266], ["newcastl", 0.28792749067539347], ["mbapp", 0.2408682184899043]]</t>
  </si>
  <si>
    <t>Griezmann getting an equaliser in a Euros game against an underdog. Superb distribution from lloris. Griezmann with a good finish after a good assist from Mbappe who has been Frances best player today. They should take that goal off griezmann just because of that celebration ffs.</t>
  </si>
  <si>
    <t>[["might", 0.6217001311606332], ["realli", 0.5597444958276634], ["debat", 0.5478823288859448]]</t>
  </si>
  <si>
    <t>Mbappe really doing well. France might win this game. Antoine Griezmann is the best International player of the last 5 years and it's not up for debate..</t>
  </si>
  <si>
    <t>[["touch", 0.7954996623166262], ["antoin", 0.60595403064435]]</t>
  </si>
  <si>
    <t>Nah i’m crying when that guy tried to touch pogba 🤣. POGBA: Don’t touch me 😂. Peep the touch and creativity from Mbappe, class.. Benzema every time he touches the ball. 🇫🇷 Antoine Griezmann has now scored 38 goals for France in 93 games ⚽️. EURO 2020.</t>
  </si>
  <si>
    <t>[["pogba", 0.787462413699292], ["giroud", 0.4982707527713495], ["sallai", 0.3628073923496567]]</t>
  </si>
  <si>
    <t>Every time pogba wins the ball, he loses it lol. Is this the same Paul Pogba that plays for Manchester United in the premier league? 😳🙄. Roland Sallai is the most fouled player in the match (6 times). #HUN. Giroud finally coming on about 75 minutes to late EURO 2020.</t>
  </si>
  <si>
    <t>[["giroud", 0.6996881229221338], ["sub", 0.612878681368683], ["wake", 0.36717332768800826]]</t>
  </si>
  <si>
    <t>France need a goal then they bring in giroud 🤣🤣. Pogba subbed off. That's been coming – very disappointing today. Giroud to score the winning assist or goal, let's go! The beef between giroud and mbappe means they won’t pass to each other but only pass to Griezemann.</t>
  </si>
  <si>
    <t>[["giroud", 1.0]]</t>
  </si>
  <si>
    <t>On my knees for a Giroud goal 🤞. How are you bringing on Giroud but taking off Pogba ?¿ 😞. Chelsea fans are saying Giroud over Benzema forgetting Giroud played 2018 World Cup and got 0 shots on target. Kwasia player sei.</t>
  </si>
  <si>
    <t>[["mbapp", 0.7237306452695424], ["save", 0.6462482166856215], ["gulacsi", 0.24202726195283314]]</t>
  </si>
  <si>
    <t>Hmmm good save from Mbappe but not sure why Giroud isn't trying to get a tap in there? Gulacsi and Pickford have been my goalkeepers of the tournament so far. Raw finish from Mbappe, has to find the corner there. Love to know how many shots Mbappe has had in these two games.</t>
  </si>
  <si>
    <t>[["keeper", 0.7121926631355344], ["might", 0.7019840529356169]]</t>
  </si>
  <si>
    <t>Mbappe just might be a good footballer. The hungary keeper looks like gay evil peter cech. #HUNFRA. Gulacsi is a decent keeper tbf.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</si>
  <si>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</si>
  <si>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</si>
  <si>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[["form", 0.5560886148471554], ["werey", 0.43635278664891197], ["nah", 0.43635278664891197], ["wan", 0.23462841186337516], ["kant", 0.23362701510056783], ["sub", 0.2187443072147965], ["ask", 0.218244572257323], ["deschamp", 0.19583769613083152], ["dembel", 0.18371296122830777], ["return", 0.1809509578828782]]</t>
  </si>
  <si>
    <t>Ousmane "Dembouz" Dembele VS Hongria | Young french player | Double foot | HD.. Kante’s been smiling so well how are they not winning. Dembele asking Deschamps why he subbed him on just to take him off. Mbappe nah werey. Giroud give you ball, return am, you wan form match winner..</t>
  </si>
  <si>
    <t>[["wait", 0.5211175180254971], ["penalti", 0.51881293636755], ["kimpemb", 0.5114360970203896], ["pen", 0.4446378168005695]]</t>
  </si>
  <si>
    <t>Looks a foul on kimpembe , should be a Pen for #FRA. Penalty to France no? Kimpembe rugby tackled 😂. "Don't pass it to Benzema.." Oh wait that's me.. They want to give #fra a penalty 🤣🤣🤣. That's a penalty for the attempted undressing of Kimpembe.</t>
  </si>
  <si>
    <t>[["world", 0.6793346560442214], ["point", 0.38174958148783955], ["level", 0.28636684942866264], ["deschamp", 0.2704801445004661], ["champion", 0.26797508030848766], ["bare", 0.2565985256669809], ["finish", 0.13933538288243283], ["final", 0.1392381564735521], ["hun", 0.1377597269613239], ["cup", 0.12002279295539389], ["touch", 0.1185808350689565], ["cross", 0.117074819160947]]</t>
  </si>
  <si>
    <t>That was a fabulous match. Fair play to Hungary for holding the world champions to a point! euro 2020. Varane always gets in the end of crosses and set pieces and barely scores. Next time start Giroud if you want to win, as we saw in the World Cup.</t>
  </si>
  <si>
    <t>[["fiola", 0.5295128750813524], ["equalis", 0.5093543133330184], ["strike", 0.4662736851583445], ["net", 0.41853063348652414], ["hungri", 0.25999088055998293]]</t>
  </si>
  <si>
    <t>And Hungry were hungry enough to take the draw. This french team can't covert but good job to the Hungarians. #HUNFRA. Euro 2021. ⏰ RESULT ⏰. 🇭🇺 Fiola strikes just before break. 🇫🇷 Griezmann nets second-half equaliser. 🤔 Who impressed you?. EURO 2020.</t>
  </si>
  <si>
    <t>[["believ", 0.7071067811865475], ["delay", 0.7071067811865475]]</t>
  </si>
  <si>
    <t>Cab't believe that the Real Sociedad - Athletic Bilbao Copa del Rey final is not being covered on British TV. Can't believe the Copa del Rey final isn't on UK TV. WE ARE OFF!!! The delayed 2020 Copa del Rey Final. Athletic Club v Real Sociedad.</t>
  </si>
  <si>
    <t>[["let", 0.6764608318913068], ["support", 0.360367090821636], ["instead", 0.360367090821636], ["fuck", 0.3124188759814496], ["bad", 0.3124188759814496], ["sociedad", 0.29573764468426755]]</t>
  </si>
  <si>
    <t>Both teams so bad might fuck around and watch the copa del rey final. Who are we supporting in tonight's Copa Del Rey final? Athletic Bilbao or Real Sociedad?? Let me go and watch last year's Copa Del Rey final instead. Let’s see how Bilbao does during this final.</t>
  </si>
  <si>
    <t>[["today", 1.0]]</t>
  </si>
  <si>
    <t>Oh its copa del rey finale today 😳.</t>
  </si>
  <si>
    <t>[["run", 0.47388311346379997], ["get", 0.47388311346379997], ["hero", 0.4709512593821664], ["fifa", 0.41460087602566026], ["card", 0.3964601044655274]]</t>
  </si>
  <si>
    <t>Will the hero of the copa del rey final being played tonight get a card in fifa 20? The 2019-2020 Copa Del Rey final is up and running. It's the Basque Derby. Athletic Bilbao Vs Real Sociedad. Bilbao vs Sociedad Copa Del Rey Final, let’s get it!</t>
  </si>
  <si>
    <t>[["basquecountri", 0.3662123308935636], ["sevil", 0.3662123308935636], ["ironi", 0.3662123308935636], ["see", 0.3662123308935636], ["piss", 0.35192341219988305], ["mud", 0.3470663893170455], ["inshallah", 0.3470663893170455], ["lol", 0.3143149210019497]]</t>
  </si>
  <si>
    <t>Sociedad to beat Bilbao Inshallah. Them they lose against us again. 2 cup finals in the mud. 🙏🏾. Let’s see how Bilbao does during this final. Loool its absolutely pissing down in the Copa del Rey final now 😂.</t>
  </si>
  <si>
    <t>[["postpon", 0.7790368115230177], ["kick", 0.6269781864563152]]</t>
  </si>
  <si>
    <t>Athletic Club and Real Sociedad have kicked off the postponed 2020 Copa del Rey final 🙏.</t>
  </si>
  <si>
    <t>[["channel", 0.6231060036231773], ["door", 0.6016560649865983], ["behind", 0.4997488246245257]]</t>
  </si>
  <si>
    <t>Such a shame the Copa del Rey final has to be behind closed doors. What an occasion it would have been. What channel is the Copa Del Rey final on?</t>
  </si>
  <si>
    <t>[["3rd", 0.7299443930062269], ["book", 0.4086419452885763], ["fuck", 0.4086419452885763], ["around", 0.36497219650311336]]</t>
  </si>
  <si>
    <t>One for the history books. Athletic Club v Real Sociedad in the Copa Del Rey final, Saturday 3rd April 2021. Sid Lowe. What if Athletic Bilbao fuck around and win both finals?? 🤔🤔🏃🏃🏃🏃.</t>
  </si>
  <si>
    <t>[["aduriz", 0.3664146136378388], ["bang", 0.3664146136378388], ["ill", 0.3664146136378388], ["hell", 0.3664146136378388], ["televis", 0.3664146136378388], ["boi", 0.35884869471572917], ["pain", 0.3205001293496342], ["fyi", 0.3117834760708974]]</t>
  </si>
  <si>
    <t>This Copa del Rey final is missing Aduriz. I really can't find the Copa Del Rey final on TV boi, pain. If Athletic Bilbao win I’ll get bang on it. Copa Del Rey final only being televised in USA like what the hell is the point in that.</t>
  </si>
  <si>
    <t>[["espn", 0.4488115084494194], ["neutral", 0.4488115084494194], ["excit", 0.4488115084494194], ["cdr", 0.4448059631176668], ["gonna", 0.4448059631176668]]</t>
  </si>
  <si>
    <t>Real Sociedad gonna win CDR tonight. ESPN+ Help What's going on with the Copa Del Rey final? Why isn't it streaming? Some exciting football in this Copa Del Rey final 🇪🇸 As a neutral, this is a very good game 😋👌.</t>
  </si>
  <si>
    <t>Transfermarkt</t>
  </si>
  <si>
    <t>[["highlight", 0.47591611764541397], ["subhuman", 0.47591611764541397], ["win", 0.45258242631476564], ["dribbl", 0.4373848737265714], ["today", 0.3884215719509714]]</t>
  </si>
  <si>
    <t>Athletic Club - Real Sociedad. Final Copa del Rey 2020. Best highlights 💫.. Isak 🥵🔥. Man can dribble too... Copa Del Rey Final. Sociedad should win the Copa final today. Subhumans in Bilbao. Final Copa Del Rey. I don’t really mind who wins but would prefer Sociedad.</t>
  </si>
  <si>
    <t>[["month", 0.525523072813749], ["amen", 0.525523072813749], ["play", 0.4837242636011468], ["wanna", 0.46223569386657953]]</t>
  </si>
  <si>
    <t>I wanna watch arsenal vs liverpool and Real Sociedad vs Bilbao but I'm playing weekend league 😣. Bilbao playing two copa del rey finals in a month. What if they win both..... Bilbao to lose both finals. Amen. 🙏.</t>
  </si>
  <si>
    <t>[["lose", 0.46849915902334466], ["announc", 0.46849915902334466], ["merino", 0.46849915902334466], ["need", 0.43125111246165665], ["everyth", 0.39439585695572393]]</t>
  </si>
  <si>
    <t>Need Bilbao to lose both finals. This ESPN copa del rey announcer sounds like he's announcing golf not football 🥱. Mikel merino wins everything.</t>
  </si>
  <si>
    <t>[["current", 0.7167315285561111], ["knot", 0.6973492066200553]]</t>
  </si>
  <si>
    <t>We are knotted at 0-0 at HT of the 2020 Copa Del Rey final between Athletic Club Real Sociedad 👀. Who takes the 🏆?. The last year Copa Del Rey final is currently being played?🥺🥺.</t>
  </si>
  <si>
    <t>Half-time. Athletic Club 0-0 Real Sociedad. Copa Del Rey Final.</t>
  </si>
  <si>
    <t>[["still", 1.0]]</t>
  </si>
  <si>
    <t>Second half of the 2020 Copa del Rey final getting underway. Still goalless between Athletic and Real Sociedad. If Sociedad win, surely Ødegaard still gets his medal right??</t>
  </si>
  <si>
    <t>[["red", 0.8545568844847345], ["inigo", 0.31367285050038857], ["merino", 0.29847023152551977], ["pass", 0.28680550017704914]]</t>
  </si>
  <si>
    <t>Penalty La Real! What a pass by Mikel Merino! Inigo takes out Portu, and is sent off! PENALTY FOR LA REAL. RED FOR INIGO MARTINEZ. Pen for me - and then has to be red. What a pass by Merino tho! Bilbao Red and la real penalty. Pen for Sociedad and a red card for Martinez. Scenes.</t>
  </si>
  <si>
    <t>[["pen", 0.4716992096820853], ["goal", 0.46122956356766365], ["penalti", 0.4541043053640995], ["watch", 0.4284874759304443], ["oyarzab", 0.4182761146623413]]</t>
  </si>
  <si>
    <t>Time to watch the Copa Del Rey final. 📸 - Penalty Real Sociedad, in the Copa del Rey Final vs Athletic Bilbao.. GOAL FOR LA REAL. OYARZABAL PEN. Goal Sociedad. 1-0. Mikel Oyarzabal back at scoring his penalties... and it's maybe the most important one he's ever scored!</t>
  </si>
  <si>
    <t>[["oryazab", 0.6706634644207811], ["convert", 0.5200169014212441], ["lead", 0.3567689930358242], ["oyarzab", 0.3268157709160248], ["rescind", 0.15116262305234748], ["yellow", 0.15116262305234748]]</t>
  </si>
  <si>
    <t>Oryazabal (pen) 1-0 Copa Del Rey and some dart music rings in the background 😂. Oyarzabal has more final goals than Thierry Henry. Goal. Real Sociedad lead 1-0. 1-0 Real Sociedad. Oryazabal converts the penalty and gives them the lead in the final!.</t>
  </si>
  <si>
    <t>Daniel Garcia</t>
  </si>
  <si>
    <t>[["foul", 0.3111769306314066], ["enjoy", 0.3111769306314066], ["averag", 0.3111769306314066], ["chilean", 0.3111769306314066], ["strongest", 0.3111769306314066], ["stink", 0.3111769306314066], ["haram", 0.2943096768446993], ["dem", 0.2943096768446993], ["lmao", 0.2943096768446993], ["suffer", 0.2862129404341682], ["anoth", 0.277922834851032]]</t>
  </si>
  <si>
    <t>... Another foul? Come on Athletic Bilbao! Strongest copa del rey fan // average Chilean Premier League enjoyer. Lmao na Barca go suffer for this thing if Bilbao loses here oo 😭😭💔. Na haram football dem go play for us. David silva stinking up in this copa del rey final.</t>
  </si>
  <si>
    <t>[["gra", 0.7071067811865475], ["captain", 0.7071067811865475]]</t>
  </si>
  <si>
    <t>Athletic Bilbao should better win now. They should not come and be using stupid gra gra for Barca next week. Oyarzabal scoring in the Copa final as captain? This is massive.</t>
  </si>
  <si>
    <t>[["kit", 0.4646777997124211], ["number", 0.4646777997124211], ["gold", 0.4646777997124211], ["massiv", 0.4321540310778755], ["cri", 0.40677576228975565]]</t>
  </si>
  <si>
    <t>Oyarzabal scoring in the Copa final as captain? This is massive. I’m crying Athletic are playing the 2020 and 2021 Copa del Rey finals a week apart and are gonna lose them both 😭. Real Sociedad are winning because they have gold numbering on their kits and Athletic don't.</t>
  </si>
  <si>
    <t>Inigo Martinez</t>
  </si>
  <si>
    <t>[["month", 0.6126635869917842], ["lose", 0.5623840612155251], ["win", 0.5553084700102215]]</t>
  </si>
  <si>
    <t>Bilbao about to lose 2 finals in the same month. Bilbao currently losing the copa Del Rey final of last season to real sociedad. How does this sound ? 😂😂. Real sociedad winning.</t>
  </si>
  <si>
    <t>Oyarzabal</t>
  </si>
  <si>
    <t>[["found", 0.7071067811865475], ["fun", 0.7071067811865475]]</t>
  </si>
  <si>
    <t>Finally found a stream for the copa del rey final. Having fun watching the copa del rey final.</t>
  </si>
  <si>
    <t>Lopez for Vencedor</t>
  </si>
  <si>
    <t>[["foul", 1.0]]</t>
  </si>
  <si>
    <t>28 fouls in the copa del rey final 💀.</t>
  </si>
  <si>
    <t>Merino</t>
  </si>
  <si>
    <t>[["lead", 0.5], ["1988", 0.5], ["david", 0.5], ["silva", 0.5]]</t>
  </si>
  <si>
    <t>Are we sure there's really no fans inside La Cartuja? Quite the racket with ten minutes to go. Real Sociedad lead 1-0 Final Copa Del Rey. David Silva leading Sociedad to first trophy since 1988, scenes.</t>
  </si>
  <si>
    <t>Villalibre for Berenguer</t>
  </si>
  <si>
    <t>[["lose", 1.0]]</t>
  </si>
  <si>
    <t>Bilbao currently losing the copa Del Rey final of last season to real sociedad. How does this sound ? 😂😂. Bilbao losing both Copa finals ahhhh.</t>
  </si>
  <si>
    <t>Vesga for Dani Garcia</t>
  </si>
  <si>
    <t>[["play", 0.4237145436438605], ["week", 0.4237145436438605], ["space", 0.4237145436438605], ["month", 0.40517500553040653], ["omoo", 0.39895686033383926], ["man", 0.3715704441960173]]</t>
  </si>
  <si>
    <t>They are playing last years Copa Del Rey final in April. Athletic Bilbao is playing in both. Omoo. Bilbao losing two finals in a month. You cannot keep playing Haram football and be expecting God don catch una😝😝😝. Athletic Bilbao could lose 2 CDR finals in the space of 2 weeks?</t>
  </si>
  <si>
    <t>Guevara for Silva</t>
  </si>
  <si>
    <t>[["penyarzab", 0.6763832829914935], ["cours", 0.6041012072244886], ["penalti", 0.30205070028094816], ["dive", 0.2938243699548312]]</t>
  </si>
  <si>
    <t>Real Sociedad have been better but they love a dive over absolutely anything and everything eh. Of course Sociedad are winning and from a penalty from Penyarzabal. LA REAL LEAD IN THE CUP FINAL! OYARZABAL'S PENALTY!.</t>
  </si>
  <si>
    <t>Fernandez for Isak</t>
  </si>
  <si>
    <t>[["inshallah", 0.45034075008286606], ["hold", 0.45034075008286606], ["cara", 0.4182931733745534], ["mode", 0.3740629798844506], ["clear", 0.3740629798844506], ["anoth", 0.3735920407313024]]</t>
  </si>
  <si>
    <t>Another Athletic Club Sub. Yuri Berchiche OFF and Ander Cara ON. Sociedad going into clear and inshallah mode, I hope this lead holds 😬.</t>
  </si>
  <si>
    <t>Barrenetxea for Portu</t>
  </si>
  <si>
    <t>[["congrat", 0.7013194910621423], ["deserv", 0.41156245838525235], ["david", 0.41156245838525235], ["silva", 0.41156245838525235]]</t>
  </si>
  <si>
    <t>Well deserved Copa win for Real Sociedad 👏🏼. David Silva comes into this team and they start seeing out finals and close games? lol not a coincidence. 💙🏆 Congrats to David Silva on winning the Copa Del Rey with Real Sociedad Fútbol.. David Silva still winning trophies.</t>
  </si>
  <si>
    <t>Capa for Berchiche</t>
  </si>
  <si>
    <t>[["look", 0.6247147847416321], ["2020", 0.5907276930086062], ["place", 0.5106586241687752]]</t>
  </si>
  <si>
    <t>David Silva has won the 2020 League Cup Final and the 2020 Copa del Rey Final, with the fixtures taking place 13 months apart. Real Sociedad are champions. Look at the players. Just look what it means.</t>
  </si>
  <si>
    <t>Elustondo for Gorosabel</t>
  </si>
  <si>
    <t>[["begun", 0.7797767059378813], ["let", 0.6260577360568809]]</t>
  </si>
  <si>
    <t>Forza Milan man, let’s fucking win for once. Parma Milan has begun. Let's do this! 👊. Sempre Milan. PUMA Football.</t>
  </si>
  <si>
    <t>[["kessi", 0.6184360497542981], ["shot", 0.564915364488715], ["corner", 0.546266860910381]]</t>
  </si>
  <si>
    <t>Come on Milan native, anibale fly and potters corner 🤞🤞🤞🐎 Grand National 2021. Powerful shot from Kessie. First shot on goal to Kessie, corner. Kessie shot is palmed for a corner kick. Good shot from Kessie, needed a finger tip save.</t>
  </si>
  <si>
    <t>[["rebic", 0.726599324831469], ["gol", 0.3632996624157345], ["lead", 0.3632996624157345], ["goal", 0.33646441890147377], ["net", 0.3080127051681039]]</t>
  </si>
  <si>
    <t>I just need a goal from AC Milan and this slip booms. COME ON BOYS AC Milan 🤲🏽🕯. Rebic gives Milan the lead with a belter. Yes this what I’m talking about. Let’s wound Parma. Milan leads 1-0. What a goal by Rebic!!! 🔥 🔥 🔥. Rebic !!!. O foh si ! 😂. The net still dey shake !</t>
  </si>
  <si>
    <t>[["calhanoglu", 0.43632480957066855], ["postag", 0.43632480957066855], ["stamp", 0.43632480957066855], ["pick", 0.39312716619576477], ["beauti", 0.3800944211490498], ["free", 0.360334905150217]]</t>
  </si>
  <si>
    <t>11' Ibrahimovic nearlr gets on the end of Calhanoglu's free-kick. Good start by Milan.. Parma Milan 0-1. 11' Ibrahimovic nearly gets on the end of Calhanoglu's free-kick. Good start by Milan.. Parma Milan 0-1. 🇭🇷 Rebic picks out the postage stamp with a beautiful shot 🚀..</t>
  </si>
  <si>
    <t>[["gervinho", 1.0]]</t>
  </si>
  <si>
    <t>Can’t stand watching Gervinho play. Has tunnel vision every time he receives the ball. Gervinho still dey play ball.</t>
  </si>
  <si>
    <t>[["beauti", 0.7385639805440212], ["thing", 0.674183392440789]]</t>
  </si>
  <si>
    <t>️⚽️ Rebic's goal again. A thing of beauty. 📹 👎🏼19..</t>
  </si>
  <si>
    <t>[["fuckin", 1.0]]</t>
  </si>
  <si>
    <t>Parma I need one fuckiiiiiiin goal.</t>
  </si>
  <si>
    <t>[["kessi", 1.0]]</t>
  </si>
  <si>
    <t>GOOOOAL KESSIE. Goal kessie #forzamilan Parma Milan. Gotta love the church bells rolling in the background before Kessie’s goal. Goal! Parma-Milan 0-2 Kessie! Great buildup from Milan as Theo Hernandez lays it off to Kessie who rolls it into the corner. GOOOOAAAAAAL KESSIE 2-0.</t>
  </si>
  <si>
    <t>[["time", 0.7430347405545309], ["theo", 0.42681230865307707], ["half", 0.37342824250175766], ["pass", 0.3553617526033717]]</t>
  </si>
  <si>
    <t>Theo to Ibrah to Theo for Kessie goal. This is great football. Kessie! Lovely passing. Keep going lads. Half time. Parma 0-2 Milan. Clinical. Zlatan's passing and Bennacer's return is just ❤🔥. Milan are cruising as Kessie makes it 2-0 just before half-time!.</t>
  </si>
  <si>
    <t>[["corner", 1.0]]</t>
  </si>
  <si>
    <t>Herh Milan vs Parma. First half 5 corners. 30th min : 2:2 corners. 45th min : 2:2 corners still. Bet spoil Herh. Like I wan mad.</t>
  </si>
  <si>
    <r>
      <rPr>
        <u/>
      </rPr>
      <t>Goal</t>
    </r>
    <r>
      <rPr>
        <u/>
      </rPr>
      <t xml:space="preserve">, </t>
    </r>
    <r>
      <rPr>
        <u/>
      </rPr>
      <t>BeSoccer</t>
    </r>
  </si>
  <si>
    <t>[["great", 0.8049509898162938], ["magic", 0.44917585154375844], ["pioli", 0.3876789372453816]]</t>
  </si>
  <si>
    <t>Kalalu needs to work on technique and passing. Can be a quality RB if he does. Doing a great job covering Gervinho defensively so far. Milan playing great football and scoring in the first half. Maybe Piolis magic is back..?.</t>
  </si>
  <si>
    <t>[["boy", 0.7183490448432484], ["work", 0.6956828658036596]]</t>
  </si>
  <si>
    <t>Work to do in the second half - Don't give up, boys! 👊🟡🔵. Parma Milan Forza Parma.</t>
  </si>
  <si>
    <t>Need to see our ballers, Tonali and Hauge in the second half. Saelemaekers got 2 players booked in 90 seconds lmao. ⏱️ 45' Second Half! Forza Milan. 46' Second half is underway! Parma Milan 0-2. Work to do in the second half - Don't give up, boys! 👊🟡🔵. Parma Milan Forza Parma.</t>
  </si>
  <si>
    <t>[["zaha", 0.3831503439933774], ["dude", 0.3831503439933774], ["dislik", 0.3831503439933774], ["sachet", 0.3831503439933774], ["cocki", 0.3831503439933774], ["omo", 0.3831503439933774], ["talent", 0.34521715395753333]]</t>
  </si>
  <si>
    <t>Omooo, I really dislike this Zaha dude. Very cocky player. Sachet Ibrahimovic with very little talent.</t>
  </si>
  <si>
    <t>[["conti", 0.5343792388394358], ["wouldv", 0.5343792388394358], ["score", 0.4688748630155528], ["donnarumma", 0.45720238519381856]]</t>
  </si>
  <si>
    <t>Donnarumma what a save! Great save from Donnarumma! A conti goal wouldve ended me. Conti almost scored ffs. Conti scoring would've been my 8th CL. PARMA FUCK OFF HOW DIDN'T YOU SCORE. Andrea Conti almost scored againts us. Stuff of nightmares. Wouldve cried if kucka scored that.</t>
  </si>
  <si>
    <t>[["red", 0.8677925327971434], ["card", 0.49692667469307644]]</t>
  </si>
  <si>
    <t>Ibrahimovic red card 🟥. Red Card! Ibrahimovic has seen a straight red for something he may have said to the referee. Wait why was Ibrahimovic given a red. Another red for Ibrahimovic. Needs to start acting like an old man. Ibrahimovic sees red. Switched to the Milan game.</t>
  </si>
  <si>
    <t>[["sent", 0.3988373158854657], ["gagliolo", 0.3988373158854657], ["fuck", 0.3988373158854657], ["given", 0.3988373158854657], ["men", 0.3581934579917413], ["straight", 0.3565326233051914], ["need", 0.32908527314382474]]</t>
  </si>
  <si>
    <t>Goal! Parma-Milan 1-2 Gagliolo! Gagliolo beats Donnarumma to the ball and opens up the game for Parma. Let’s go! We want/need this more!!. Parma Milan 1-2. Zlatan Ibrahimovic has been sent OFF with a straight red! 😱. Milan are now down to 10 men!. WHAT THE FUCK!!!??? Goal Parma...</t>
  </si>
  <si>
    <t>[["card", 0.44125118813454134], ["skill", 0.4292541121818055], ["ref", 0.4220792627905053], ["human", 0.39756581649009143], ["got", 0.3826698947926223], ["compar", 0.37201151224802087]]</t>
  </si>
  <si>
    <t>Zlatan Ibrahimovic vs Parma | Lions Don’t Compare Themselves To Humans | Goals, Skills and More. JUST SEEN ZLATAN THE DONKEY GOT A RED CARD AND PARMA SCORED. Milan gonna bottle this I’m screaaaaming! 😭😭🤣🤣🤣💀.</t>
  </si>
  <si>
    <t>[["stress", 0.8296116793902256], ["meit", 0.4148058396951128], ["sub", 0.3737386476860028]]</t>
  </si>
  <si>
    <t>Meite and Dalot as subs.... We want to defend a lead and bring Dalot Meite on. Meite and Dalot coming on for Bennacer and Saelemaekers. 72 minute, a big battle ahead to preserve this lead. I really thought Milan were gonna win this game stress free....</t>
  </si>
  <si>
    <t>Rebic</t>
  </si>
  <si>
    <t>[["goal", 0.7181041342833779], ["sent", 0.6959356668005459]]</t>
  </si>
  <si>
    <t>Galatasaray abeg Milan don deliver 2 goals score or concede 2 goals too pls. Cornelius is awful man, lucky that wasnt pelle on that or its a goal. Cashed after ibra sent off and parma got a goal back.</t>
  </si>
  <si>
    <t>Bani</t>
  </si>
  <si>
    <t>[["yellow", 0.7365435777894979], ["maresca", 0.676390093080203]]</t>
  </si>
  <si>
    <t>Maresca today :. Cornelius gets a : You Stop ! Ibrahimovic gets a : RED CARD. Parma Milan. Why the fuxk is Maresca dishing so many cards like that? Parma Milan. 78' Yellow card for Hernandez.. Parma Milan 1-2. ⏱️ 78' Yellow card for Theo Hernandez.</t>
  </si>
  <si>
    <t>Calhanoglu</t>
  </si>
  <si>
    <t>[["receiv", 0.45606261336730997], ["3353", 0.45606261336730997], ["fourth", 0.45606261336730997], ["overal", 0.45606261336730997], ["yellow", 0.4099116621350485]]</t>
  </si>
  <si>
    <t>Loool now Meite gets a yellow for fuck all smh. Yellow for Kessie. Zlatan Ibrahimovic has received his first red card in Serie A in 3353 days. His fourth overall for Milan.. AC Milan eating Yellow cards 😆😆. Kessie with another needless yellow.</t>
  </si>
  <si>
    <t>Pezzella</t>
  </si>
  <si>
    <t>[["kessi", 0.7890127509016153], ["lead", 0.4344300167545203], ["sent", 0.4344300167545203]]</t>
  </si>
  <si>
    <t>Kessie booked for kicking the ball away, we have lost it on the field. Kessie the one that should lead the players to calm down. ⏱ 81.' 🟨 Kessie is booked, too. Parma Milan 1-2 Sempre Milan. Lol Zlatan sent off for still leading 2-1.</t>
  </si>
  <si>
    <t>Gagliolo</t>
  </si>
  <si>
    <t>[["leao", 0.7289522329656613], ["corner", 0.37944560749321876], ["cusp", 0.18972280374660938], ["wrong", 0.18972280374660938], ["street", 0.17779879262132822], ["disturb", 0.17779879262132822], ["sent", 0.17338208612843178], ["hamper", 0.17338208612843178], ["acca", 0.17093959949930307], ["seri", 0.16339625871301106], ["pro", 0.15995212937124254], ["may", 0.1562166686231964], ["footbal", 0.15298907250295984]]</t>
  </si>
  <si>
    <t>Thank you Ibrahimovic 🙏🏾. Getting red carded and allowing Parma to pressure us and winning more corners 🙏🏾. 9.5 corners ✅. Zlatan sent off but it may hamper Milan's chances of CL football next season. Leao goal brilliant work by Dalot. Leao for the win. Just knew it.</t>
  </si>
  <si>
    <t>Kessie</t>
  </si>
  <si>
    <t>[["2004", 1.0]]</t>
  </si>
  <si>
    <t>2004 - Chaka Traorè (Parma) is the first player born in 2004 to play a Serie A game. Child.. Parma Milan.</t>
  </si>
  <si>
    <t>[["meit", 1.0]]</t>
  </si>
  <si>
    <t>Meite booked, raining yellow cards. ⏱ 90.' 🟨 Soualiho Meite goes into the book, too. Parma Milan 1-2 Sempre Milan.</t>
  </si>
  <si>
    <t>[["decis", 0.7568410340953257], ["conced", 0.6535989971760346]]</t>
  </si>
  <si>
    <t>Dalot is going to make us concede a penalty. Another Milan game with terrible decisions from the officials. Just tired of watching it game in game out Parma Milan Serie A.</t>
  </si>
  <si>
    <t>Cornelius for Gervinho</t>
  </si>
  <si>
    <t>[["diogo", 0.6644648354644707], ["sub", 0.40029863304371194], ["counter", 0.3801067999070971], ["rafael", 0.3801067999070971], ["pioli", 0.3305830124844314]]</t>
  </si>
  <si>
    <t>Pioli subs have been spot on but I bet you don't want this conversation. So, are we praising Pioli for the subs or its only when we lose a game? ⏱ 90+4' ⚽️. Rafael Leão seals the win following a Diogo Dalot counter 😍. Parma Milan 1-3 Sempre Milan. EA SPORTS FIFA.</t>
  </si>
  <si>
    <t>Ibrahimovic</t>
  </si>
  <si>
    <t>[["posit", 0.7468985738499148], ["2nd", 0.6649379823569739]]</t>
  </si>
  <si>
    <t>The Rossoneri maintain their excellent away record and beat Parma 3-1 to hold on to 2nd place in Serie A AC Milan. Job done! Milan fiish off Parma 1-3. Stay in 2nd place, 8 points behind Inter who have 1 game in hand! Much needed win!!! Positive Vibes Parma Milan.</t>
  </si>
  <si>
    <t>Grassi for Hernani</t>
  </si>
  <si>
    <t>Kucka</t>
  </si>
  <si>
    <t>Meite for Bennacer</t>
  </si>
  <si>
    <t>Dalot for Saelemaekers</t>
  </si>
  <si>
    <t>Busi for Pezzella</t>
  </si>
  <si>
    <t>Krunic for Calhanoglu</t>
  </si>
  <si>
    <t>Hernandez</t>
  </si>
  <si>
    <t>Gabbia for Kalulu</t>
  </si>
  <si>
    <t>Leao for Rebic</t>
  </si>
  <si>
    <t>Traoré for Conti</t>
  </si>
  <si>
    <t>Meite</t>
  </si>
  <si>
    <t>Leao</t>
  </si>
  <si>
    <t>[["wide", 1.0]]</t>
  </si>
  <si>
    <t>Ooft, golden chance for Icardi, free header six yards out from Di Maria's wide free kick and he nods wide. #PSGOM. 18' CHANCE! MauroIcardi heads just wide from a free-kick. That was close!. TDC 2020 | #PSGOM.</t>
  </si>
  <si>
    <t>[["yc", 0.7607103813731566], ["ff", 0.6490914540117645]]</t>
  </si>
  <si>
    <t>Di Maria is still so good ffs. 2 YCs already in PSG v Marseille after 25, looking a lively one.</t>
  </si>
  <si>
    <t>[["offsid", 0.7715223423406856], ["0x0", 0.3799950385630383], ["impedimento", 0.3799950385630383], ["mbapp", 0.3405301992541808]]</t>
  </si>
  <si>
    <t>Ball in the net again, Mbappe rifles in a finish from a long pass over the top but he's just offside. #PSGOM. Another OffSide for MBAPPE hhhhh. 2 offside PSG goals now ffs. 29' Gol de Kylian Mbappé anulado por impedimento. #𝐓𝐃𝐂𝟐𝟎𝟐𝟎. #PSGOM 0⃣x0⃣.</t>
  </si>
  <si>
    <t>[["icardi", 0.6862960396976769], ["ouvertur", 0.446103175128282], ["mauroicardi", 0.43188711016115744], ["keeper", 0.24275780315512194], ["areola", 0.20584219615936006], ["score", 0.20533111405723403]]</t>
  </si>
  <si>
    <t>Is this Areola the PSG keeper who had a house in London that our fans turned their nose up at? ⏱️ 40' Goal for Paris. Icardi. #PSGOM | 1⃣ - 0⃣ | ⚪️🔵 | Td C 2020. And that is where Icardi is at his best. Icardi opens the score. ⏱️ 39' | #PSGOM 1⃣-0⃣. Ouverture du score de Paris.</t>
  </si>
  <si>
    <t>[["babiani", 0.3536942836849524], ["sein", 0.3536942836849524], ["crazi", 0.3536942836849524], ["lottin", 0.3536942836849524], ["1080p", 0.3536942836849524], ["deni", 0.3536942836849524], ["jonathan", 0.3536942836849524], ["skill", 0.3525655624421062]]</t>
  </si>
  <si>
    <t>Kylian Mbappé Lottin vs OM • Crazy skills and goals • 1080p HD • Seine-Saint-Denis Jonathan Babiany ? 🔥 #PSGOM.</t>
  </si>
  <si>
    <t>[["unlucki", 0.6058720737355097], ["concept", 0.32635161958712683], ["12th", 0.32635161958712683], ["toti", 0.32635161958712683], ["pick", 0.2930203775986393], ["jong", 0.28778958508785957], ["thiago", 0.27352285093291157], ["goal", 0.2643943162975547]]</t>
  </si>
  <si>
    <t>Very annoying that the Aberdeen match has been postponed. Just one more PSG goal though and we win another £35 👌🏽😊. That would’ve been a wavy goal by icardi. Icardi unlucky not to score there. TOTY 12th Man Player Pick Concept 🌟. Thiago 🇪🇸 Neymar 🇧🇷 Mbappe 🇫🇷. Who you taking? 👀.</t>
  </si>
  <si>
    <t>[["lead", 0.8035711987181217], ["score", 0.35871543511623594], ["joy", 0.34223791104845774], ["half", 0.3293475025581314]]</t>
  </si>
  <si>
    <t>It's halftime in Lens and Paris Saint-Germain lead 1️⃣-0️⃣ through MauroIcardi. TDC 2020 #PSGOM. One thing icardi's gonna do is score against om. It's half-time in the Trophee des Champions final and PSG are in the lead! 😁. Scoring against Marseille = Pure joy. #PSGOM.</t>
  </si>
  <si>
    <t>[["first", 0.5597657339454645], ["goal", 0.5311350719394029], ["win", 0.4500128104150143], ["asap", 0.4494956383757257]]</t>
  </si>
  <si>
    <t>Man, Dembele is a star⚡⚡⚡. We need to start calling Mbappe out ASAP!!!!. Goal for psg in the finals!!!!!! Pochettino might win his first trophy for psg today. Mauricio Pochettino is gonna win his first trophy tonight! 😭😭.</t>
  </si>
  <si>
    <t>[["fight", 0.6310040865763861], ["pared", 0.57428322301557], ["term", 0.521567466859993]]</t>
  </si>
  <si>
    <t>Also PSG need to make Florenzi's loan deal permanent. For £9m he's a steal and can be a short term starter, long term squad player. Paredes showing he isn't only good at fighting. What a first half he had. Leandro Paredes vs OM - 1st half time - Next Thiago Motta ?.</t>
  </si>
  <si>
    <t>[["anymor", 0.6077922373328746], ["mandanda", 0.6077922373328746], ["pele", 0.5110549798953116]]</t>
  </si>
  <si>
    <t>No one can say Pochettino doesn't win trophies anymore. AVB took Mandanda off at half-time 😭 Pele hasn't played for a year? Why did mandanda get subbed of?!? Marseilles have brought Pele on for the 2nd half. It’s ok though as he’s gone in goal. #PSGOM.</t>
  </si>
  <si>
    <r>
      <rPr>
        <rFont val="Arial"/>
        <color rgb="FF000000"/>
        <u/>
      </rPr>
      <t>L'Equipe</t>
    </r>
    <r>
      <rPr>
        <rFont val="Arial"/>
        <color rgb="FF000000"/>
        <u/>
      </rPr>
      <t xml:space="preserve">, </t>
    </r>
    <r>
      <rPr>
        <rFont val="Arial"/>
        <color rgb="FF000000"/>
        <u/>
      </rPr>
      <t>Transfermarkt</t>
    </r>
  </si>
  <si>
    <t>[["basic", 0.6083046432477797], ["nba", 0.6083046432477797], ["happen", 0.5098342103138855]]</t>
  </si>
  <si>
    <t>For football people: what just happened in the NBA is basically Messi joining Neymar and Mbappe at PSG. 🤯.</t>
  </si>
  <si>
    <t>[["feyenoord", 0.6197300851102273], ["hold", 0.5194101377609089], ["ney", 0.30986504255511366], ["score", 0.3078238434094144], ["miss", 0.2941932814113484], ["back", 0.2623474421523134]]</t>
  </si>
  <si>
    <t>Neymar jr back 🔥🏆 #PSGOM Trophee Des Champions. Neyyyyy finally ☺️☺️☺️ i missed him sm #PSGOM. They're daring OM to score on them. Trophee Des Champions #PSGOM. Tottenham score one more. Feyenoord hold on. Psg win that’s all. 🙏🏽🙏🏽🙏🏽🙏🏽🙏🏽.</t>
  </si>
  <si>
    <t>[["fight", 0.39596596443452403], ["titl", 0.39596596443452403], ["minut", 0.38434748324646845], ["min", 0.3512237664159518], ["valentin", 0.3222346924392116], ["valer", 0.3222346924392116], ["replac", 0.3222346924392116], ["rongier", 0.3222346924392116]]</t>
  </si>
  <si>
    <t>Pochettino is 10 mins away from winning his first ever silverware. 💉💉. ⏱️ 80' Final change for the Olympiens. Valentin Rongier replaced by Valère Germain.. #PSGOM | 1⃣ - 0⃣ | ⚪️🔵 | Td C 2020. Pochettino is 15 minutes from winning his first title. #PSGOM Trophee Des Champions.</t>
  </si>
  <si>
    <t>[["penalti", 0.6639688381341845], ["idrissa", 0.3448262013750733], ["guey", 0.3448262013750733], ["essien", 0.3448262013750733], ["fli", 0.3448262013750733], ["pared", 0.28900682581505027]]</t>
  </si>
  <si>
    <t>Paredes needs to fly kick this guy. Idrissa Gueye vs OM 🔥🔥 // The New Essien 🥶🥶🥶 ? Skills and goals 🥵🥵🥵🥵 #PSGOM. Should be a penalty for PSG here. Definitely a penalty lol even if Icardi looked for it. Penalty ??? #PSGOM. That’s a penalty every day doesn’t need VAR. Foolish #PSG.</t>
  </si>
  <si>
    <t>[["irv", 0.3475008205723708], ["kyri", 0.3475008205723708], ["durant", 0.3475008205723708], ["kevin", 0.3475008205723708], ["harden", 0.3475008205723708], ["suarez", 0.3475008205723708], ["term", 0.31200954905256323], ["colo", 0.30542337639331857], ["jame", 0.291248486110563]]</t>
  </si>
  <si>
    <t>Esteban Paredes on for Javier Parraguez for the final 10 minutes of the game. Colo-Colo still one behind. James Harden, Kevin Durant Kyrie Irving?? In Football terms, this is going to be like Messi, Neymar and Suarez 😂🤣.</t>
  </si>
  <si>
    <t>[["poch", 0.599157034895885], ["score", 0.5971038043560521], ["neymar", 0.5333646917056851]]</t>
  </si>
  <si>
    <t>Neymar wins Poch his first trophy 🏆 #PSGOM. For football people: what just happened in the NBA is basically Messi joining Neymar and Mbappe at PSG. 🤯. Neymar scored more goals in finals today (1) than Henry has scored goals in finals in his entire career (0)</t>
  </si>
  <si>
    <t>[["spot", 0.9069496822417015], ["week", 0.30924366667978104], ["within", 0.2860255731575784]]</t>
  </si>
  <si>
    <t>Poch winning his first trophy for PSG within 2 weeks of being there. Neymar scores from the spot. GOAL! Neymar Jr nets from the spot to make it 2-0 to Paris Saint-Germain. TDC 2020 #PSGOM.</t>
  </si>
  <si>
    <t>[["gol", 0.5220638922266991], ["fat", 0.41570733074405664], ["picant", 0.3831270992937302], ["playa", 0.2532713765986455], ["dirt", 0.24938734794904927], ["spursi", 0.2321495520559911], ["goal", 0.23052242587081884], ["biola", 0.22811570352278923], ["kazeem", 0.22811570352278923], ["mourinho", 0.138936792932969], ["game", 0.138936792932969], ["need", 0.1268246443324959], ["payet", 0.12534347552497557]]</t>
  </si>
  <si>
    <t>PSG coming to do dirt in champions league lol. Gol de Payet. Picante final. Fat man scores goal. Trophee Des Champions #PSGOM. Another final goal for Neymar. Big game playa. Pochettino about to win his first competitive trophy 🏆..... Where is Biola Kazeem. Gooooooool payet.</t>
  </si>
  <si>
    <t>[["enter", 0.383101198426569], ["danilo", 0.383101198426569], ["load", 0.383101198426569], ["woah", 0.3693944637353491], ["come", 0.3410376531560326], ["though", 0.33166713063509623], ["first", 0.31385426029320784], ["payet", 0.31374174464990295]]</t>
  </si>
  <si>
    <t>Neymar just had to score on his first game back 🙏🏾. Come-back loading…. #PSGOM Trophee Des Champions. 88' - DOUBLE SUB. Kean and Danilo enter the game.. TDC 2020 | #PSGOM. Woooooooah, Payet scores! Finally! Still 2:1 and almost the end of the game though. #PSGOM.</t>
  </si>
  <si>
    <t>Radonjic</t>
  </si>
  <si>
    <t>[["conced", 0.5781398190694663], ["pen", 0.30739520157833755], ["someth", 0.30739520157833755], ["back", 0.30392976066466587], ["ass", 0.2666627434670064], ["month", 0.2576350379543834], ["came", 0.25197478978758675], ["champion", 0.24946566482722682], ["win", 0.24634199769378357], ["first", 0.24597521481403342]]</t>
  </si>
  <si>
    <t>Neymar back scoring (just a pen) less than a month after this. The best thing about cavs goal is that Parker told kamara to sit back down 🥳🥳. Im just going to give up on psg if we concede now. You was on to something when it came to closing out games. Trophee Des Champions #PSGOM.</t>
  </si>
  <si>
    <t>Icardi (disallowed)</t>
  </si>
  <si>
    <t>[["one", 1.0]]</t>
  </si>
  <si>
    <t>⏱️ 90+6' All over in Lens as OM go down by one goal. #PSGOM | 2⃣ - 1⃣ | ⚪️🔵 | Td C 2020.</t>
  </si>
  <si>
    <t>Nagatomo</t>
  </si>
  <si>
    <t>Mbappe (disallowed)</t>
  </si>
  <si>
    <t>Icardi</t>
  </si>
  <si>
    <t>Pele for Mandanda</t>
  </si>
  <si>
    <t>Benedetto for Radonjic</t>
  </si>
  <si>
    <t>Sanson for Gueye</t>
  </si>
  <si>
    <t>Neymar for Di Maria</t>
  </si>
  <si>
    <t>Kimpembe for Kurzawa</t>
  </si>
  <si>
    <t>Lirola for Nagatomo</t>
  </si>
  <si>
    <t>Lirola</t>
  </si>
  <si>
    <t>Alvaro Gonzalez</t>
  </si>
  <si>
    <t>Germain for Rongier</t>
  </si>
  <si>
    <t>Neymar</t>
  </si>
  <si>
    <t>Danilo for Paredes</t>
  </si>
  <si>
    <t>Kean for Icardi</t>
  </si>
  <si>
    <t>Payet</t>
  </si>
  <si>
    <t>Sarabia for Herrera</t>
  </si>
  <si>
    <t>Mbappe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</si>
</sst>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0.0000"/>
    <numFmt numFmtId="166" formatCode="M/d/yyyy H:mm:ss"/>
    <numFmt numFmtId="167" formatCode="h:mm:ss am/pm"/>
  </numFmts>
  <fonts count="20">
    <font>
      <sz val="10.0"/>
      <color rgb="FF000000"/>
      <name val="Arial"/>
      <scheme val="minor"/>
    </font>
    <font>
      <b/>
      <color theme="1"/>
      <name val="Arial"/>
      <scheme val="minor"/>
    </font>
    <font>
      <color theme="1"/>
      <name val="Arial"/>
      <scheme val="minor"/>
    </font>
    <font>
      <color theme="1"/>
      <name val="Arial"/>
    </font>
    <font>
      <b/>
      <color theme="1"/>
      <name val="Arial"/>
    </font>
    <font>
      <u/>
      <sz val="8.0"/>
      <color rgb="FF0000FF"/>
      <name val="Inconsolata"/>
    </font>
    <font>
      <u/>
      <sz val="8.0"/>
      <color rgb="FF1155CC"/>
      <name val="Inconsolata"/>
    </font>
    <font>
      <b/>
      <sz val="8.0"/>
      <color rgb="FF666666"/>
      <name val="Nunito"/>
    </font>
    <font>
      <i/>
      <color theme="1"/>
      <name val="Arial"/>
      <scheme val="minor"/>
    </font>
    <font>
      <u/>
      <color theme="1"/>
      <name val="Arial"/>
      <scheme val="minor"/>
    </font>
    <font>
      <u/>
      <color theme="1"/>
      <name val="Arial"/>
      <scheme val="minor"/>
    </font>
    <font>
      <u/>
      <color theme="1"/>
      <name val="Arial"/>
      <scheme val="minor"/>
    </font>
    <font>
      <b/>
      <u/>
      <sz val="8.0"/>
      <color rgb="FF0000FF"/>
      <name val="Inconsolata"/>
    </font>
    <font>
      <u/>
      <color rgb="FF1155CC"/>
      <name val="Arial"/>
    </font>
    <font>
      <u/>
      <color rgb="FF0000FF"/>
    </font>
    <font>
      <u/>
      <color rgb="FF0000FF"/>
      <name val="Arial"/>
    </font>
    <font>
      <u/>
      <color rgb="FF0000FF"/>
    </font>
    <font>
      <color rgb="FF000000"/>
      <name val="Arial"/>
    </font>
    <font>
      <u/>
      <color theme="1"/>
    </font>
    <font>
      <u/>
      <color rgb="FF000000"/>
      <name val="Arial"/>
    </font>
  </fonts>
  <fills count="5">
    <fill>
      <patternFill patternType="none"/>
    </fill>
    <fill>
      <patternFill patternType="lightGray"/>
    </fill>
    <fill>
      <patternFill patternType="solid">
        <fgColor rgb="FFDFFFF0"/>
        <bgColor rgb="FFDFFFF0"/>
      </patternFill>
    </fill>
    <fill>
      <patternFill patternType="solid">
        <fgColor rgb="FFF3F3F3"/>
        <bgColor rgb="FFF3F3F3"/>
      </patternFill>
    </fill>
    <fill>
      <patternFill patternType="solid">
        <fgColor rgb="FFFFFFFF"/>
        <bgColor rgb="FFFFFFFF"/>
      </patternFill>
    </fill>
  </fills>
  <borders count="6">
    <border/>
    <border>
      <left style="thin">
        <color rgb="FF000000"/>
      </left>
    </border>
    <border>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horizontal="right"/>
    </xf>
    <xf borderId="0" fillId="0" fontId="1" numFmtId="0" xfId="0" applyAlignment="1" applyFont="1">
      <alignment horizontal="center"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top"/>
    </xf>
    <xf borderId="0" fillId="0" fontId="1" numFmtId="0" xfId="0" applyFont="1"/>
    <xf borderId="0" fillId="0" fontId="2" numFmtId="10" xfId="0" applyAlignment="1" applyFont="1" applyNumberFormat="1">
      <alignment horizontal="right"/>
    </xf>
    <xf borderId="0" fillId="0" fontId="2" numFmtId="10" xfId="0" applyAlignment="1" applyFont="1" applyNumberFormat="1">
      <alignment horizontal="center"/>
    </xf>
    <xf borderId="0" fillId="0" fontId="5" numFmtId="0" xfId="0" applyAlignment="1" applyFont="1">
      <alignment readingOrder="0"/>
    </xf>
    <xf borderId="0" fillId="0" fontId="6" numFmtId="0" xfId="0" applyAlignment="1" applyFont="1">
      <alignment readingOrder="0"/>
    </xf>
    <xf borderId="1" fillId="0" fontId="2" numFmtId="10" xfId="0" applyBorder="1" applyFont="1" applyNumberFormat="1"/>
    <xf borderId="0" fillId="0" fontId="2" numFmtId="10" xfId="0" applyFont="1" applyNumberFormat="1"/>
    <xf borderId="0" fillId="0" fontId="2" numFmtId="3" xfId="0" applyAlignment="1" applyFont="1" applyNumberFormat="1">
      <alignment horizontal="right"/>
    </xf>
    <xf borderId="1" fillId="0" fontId="2" numFmtId="3" xfId="0" applyBorder="1" applyFont="1" applyNumberFormat="1"/>
    <xf borderId="1" fillId="0" fontId="2" numFmtId="0" xfId="0" applyBorder="1" applyFont="1"/>
    <xf borderId="0" fillId="0" fontId="7" numFmtId="0" xfId="0" applyAlignment="1" applyFont="1">
      <alignment readingOrder="0"/>
    </xf>
    <xf borderId="2" fillId="0" fontId="2" numFmtId="10" xfId="0" applyAlignment="1" applyBorder="1" applyFont="1" applyNumberFormat="1">
      <alignment horizontal="right"/>
    </xf>
    <xf borderId="0" fillId="0" fontId="2" numFmtId="4" xfId="0" applyFont="1" applyNumberFormat="1"/>
    <xf borderId="3" fillId="0" fontId="2" numFmtId="10" xfId="0" applyAlignment="1" applyBorder="1" applyFont="1" applyNumberFormat="1">
      <alignment horizontal="right"/>
    </xf>
    <xf borderId="2" fillId="0" fontId="2" numFmtId="3" xfId="0" applyBorder="1" applyFont="1" applyNumberFormat="1"/>
    <xf borderId="3" fillId="0" fontId="2" numFmtId="3" xfId="0" applyBorder="1" applyFont="1" applyNumberFormat="1"/>
    <xf borderId="0" fillId="0" fontId="1" numFmtId="10" xfId="0" applyAlignment="1" applyFont="1" applyNumberFormat="1">
      <alignment readingOrder="0"/>
    </xf>
    <xf borderId="2" fillId="0" fontId="2" numFmtId="0" xfId="0" applyBorder="1" applyFont="1"/>
    <xf borderId="3" fillId="0" fontId="2" numFmtId="0" xfId="0" applyBorder="1" applyFont="1"/>
    <xf borderId="0" fillId="0" fontId="8" numFmtId="0" xfId="0" applyAlignment="1" applyFont="1">
      <alignment readingOrder="0" shrinkToFit="0" vertical="top" wrapText="0"/>
    </xf>
    <xf borderId="0" fillId="0" fontId="2" numFmtId="4" xfId="0" applyAlignment="1" applyFont="1" applyNumberFormat="1">
      <alignment readingOrder="0"/>
    </xf>
    <xf borderId="0" fillId="0" fontId="1" numFmtId="0" xfId="0" applyAlignment="1" applyFont="1">
      <alignment horizontal="left" readingOrder="0"/>
    </xf>
    <xf borderId="0" fillId="0" fontId="2" numFmtId="164" xfId="0" applyAlignment="1" applyFont="1" applyNumberFormat="1">
      <alignment horizontal="right"/>
    </xf>
    <xf borderId="0" fillId="0" fontId="9" numFmtId="164" xfId="0" applyAlignment="1" applyFont="1" applyNumberFormat="1">
      <alignment horizontal="right" readingOrder="0"/>
    </xf>
    <xf borderId="0" fillId="0" fontId="7" numFmtId="4" xfId="0" applyAlignment="1" applyFont="1" applyNumberFormat="1">
      <alignment readingOrder="0"/>
    </xf>
    <xf borderId="0" fillId="0" fontId="2" numFmtId="10" xfId="0" applyAlignment="1" applyFont="1" applyNumberFormat="1">
      <alignment horizontal="right" readingOrder="0"/>
    </xf>
    <xf borderId="0" fillId="0" fontId="2" numFmtId="4" xfId="0" applyAlignment="1" applyFont="1" applyNumberFormat="1">
      <alignment horizontal="center"/>
    </xf>
    <xf borderId="0" fillId="0" fontId="1" numFmtId="164" xfId="0" applyAlignment="1" applyFont="1" applyNumberFormat="1">
      <alignment horizontal="right"/>
    </xf>
    <xf borderId="0" fillId="0" fontId="10" numFmtId="165" xfId="0" applyAlignment="1" applyFont="1" applyNumberFormat="1">
      <alignment horizontal="right" readingOrder="0"/>
    </xf>
    <xf borderId="0" fillId="0" fontId="11" numFmtId="4" xfId="0" applyAlignment="1" applyFont="1" applyNumberFormat="1">
      <alignment horizontal="right" readingOrder="0"/>
    </xf>
    <xf borderId="0" fillId="0" fontId="2" numFmtId="165" xfId="0" applyAlignment="1" applyFont="1" applyNumberFormat="1">
      <alignment horizontal="right"/>
    </xf>
    <xf borderId="1" fillId="0" fontId="2" numFmtId="164" xfId="0" applyAlignment="1" applyBorder="1" applyFont="1" applyNumberFormat="1">
      <alignment horizontal="right"/>
    </xf>
    <xf borderId="0" fillId="0" fontId="2" numFmtId="0" xfId="0" applyAlignment="1" applyFont="1">
      <alignment readingOrder="0"/>
    </xf>
    <xf borderId="0" fillId="0" fontId="2" numFmtId="0" xfId="0" applyFont="1"/>
    <xf borderId="3" fillId="2" fontId="3" numFmtId="10" xfId="0" applyAlignment="1" applyBorder="1" applyFill="1" applyFont="1" applyNumberFormat="1">
      <alignment horizontal="right" vertical="bottom"/>
    </xf>
    <xf borderId="2" fillId="2" fontId="3" numFmtId="10" xfId="0" applyAlignment="1" applyBorder="1" applyFont="1" applyNumberFormat="1">
      <alignment horizontal="right" vertical="bottom"/>
    </xf>
    <xf borderId="1" fillId="2" fontId="3" numFmtId="10" xfId="0" applyAlignment="1" applyBorder="1" applyFont="1" applyNumberFormat="1">
      <alignment horizontal="right" vertical="bottom"/>
    </xf>
    <xf borderId="0" fillId="0" fontId="8" numFmtId="0" xfId="0" applyAlignment="1" applyFont="1">
      <alignment readingOrder="0" shrinkToFit="0" vertical="top" wrapText="0"/>
    </xf>
    <xf borderId="0" fillId="0" fontId="8"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right"/>
    </xf>
    <xf borderId="2" fillId="0" fontId="2" numFmtId="4" xfId="0" applyAlignment="1" applyBorder="1" applyFont="1" applyNumberFormat="1">
      <alignment horizontal="right"/>
    </xf>
    <xf borderId="0" fillId="0" fontId="2" numFmtId="4" xfId="0" applyAlignment="1" applyFont="1" applyNumberFormat="1">
      <alignment horizontal="right"/>
    </xf>
    <xf borderId="0" fillId="0" fontId="2" numFmtId="164" xfId="0" applyAlignment="1" applyFont="1" applyNumberFormat="1">
      <alignment horizontal="right" readingOrder="0"/>
    </xf>
    <xf borderId="0" fillId="0" fontId="1" numFmtId="0" xfId="0" applyAlignment="1" applyFont="1">
      <alignment readingOrder="0"/>
    </xf>
    <xf borderId="0" fillId="0" fontId="2" numFmtId="49" xfId="0" applyFont="1" applyNumberFormat="1"/>
    <xf borderId="0" fillId="0" fontId="12" numFmtId="0" xfId="0" applyAlignment="1" applyFont="1">
      <alignment readingOrder="0"/>
    </xf>
    <xf borderId="0" fillId="0" fontId="2" numFmtId="3" xfId="0" applyAlignment="1" applyFont="1" applyNumberFormat="1">
      <alignment readingOrder="0"/>
    </xf>
    <xf borderId="0" fillId="2" fontId="3" numFmtId="10" xfId="0" applyAlignment="1" applyFont="1" applyNumberFormat="1">
      <alignment vertical="bottom"/>
    </xf>
    <xf borderId="0" fillId="0" fontId="2" numFmtId="0" xfId="0" applyFont="1"/>
    <xf borderId="0" fillId="0" fontId="2" numFmtId="0" xfId="0" applyAlignment="1" applyFont="1">
      <alignment horizontal="center"/>
    </xf>
    <xf borderId="0" fillId="3" fontId="2" numFmtId="0" xfId="0" applyFill="1" applyFont="1"/>
    <xf borderId="0" fillId="0" fontId="13" numFmtId="0" xfId="0" applyAlignment="1" applyFont="1">
      <alignment readingOrder="0" vertical="bottom"/>
    </xf>
    <xf borderId="0" fillId="0" fontId="1" numFmtId="166" xfId="0" applyAlignment="1" applyFont="1" applyNumberFormat="1">
      <alignment readingOrder="0"/>
    </xf>
    <xf borderId="0" fillId="0" fontId="1" numFmtId="0" xfId="0" applyAlignment="1" applyFont="1">
      <alignment readingOrder="0" shrinkToFit="0" wrapText="0"/>
    </xf>
    <xf borderId="0" fillId="0" fontId="4" numFmtId="0" xfId="0" applyAlignment="1" applyFont="1">
      <alignment readingOrder="0" vertical="bottom"/>
    </xf>
    <xf borderId="0" fillId="0" fontId="2" numFmtId="10" xfId="0" applyAlignment="1" applyFont="1" applyNumberFormat="1">
      <alignment readingOrder="0"/>
    </xf>
    <xf borderId="0" fillId="0" fontId="3" numFmtId="0" xfId="0" applyAlignment="1" applyFont="1">
      <alignment horizontal="right" readingOrder="0" vertical="bottom"/>
    </xf>
    <xf borderId="0" fillId="0" fontId="2" numFmtId="166" xfId="0" applyFont="1" applyNumberFormat="1"/>
    <xf borderId="0" fillId="0" fontId="3" numFmtId="0" xfId="0" applyAlignment="1" applyFont="1">
      <alignment readingOrder="0" vertical="bottom"/>
    </xf>
    <xf borderId="0" fillId="0" fontId="3" numFmtId="0" xfId="0" applyAlignment="1" applyFont="1">
      <alignment readingOrder="0" vertical="bottom"/>
    </xf>
    <xf borderId="0" fillId="0" fontId="2" numFmtId="3" xfId="0" applyFont="1" applyNumberFormat="1"/>
    <xf borderId="0" fillId="0" fontId="2" numFmtId="9" xfId="0" applyFont="1" applyNumberFormat="1"/>
    <xf borderId="0" fillId="0" fontId="2" numFmtId="167" xfId="0" applyFont="1" applyNumberFormat="1"/>
    <xf borderId="0" fillId="0" fontId="4" numFmtId="0" xfId="0" applyAlignment="1" applyFont="1">
      <alignment vertical="bottom"/>
    </xf>
    <xf borderId="0" fillId="0" fontId="14" numFmtId="0" xfId="0" applyAlignment="1" applyFont="1">
      <alignment readingOrder="0" shrinkToFit="0" wrapText="0"/>
    </xf>
    <xf borderId="0" fillId="0" fontId="3" numFmtId="167" xfId="0" applyAlignment="1" applyFont="1" applyNumberFormat="1">
      <alignment vertical="bottom"/>
    </xf>
    <xf borderId="0" fillId="0" fontId="3" numFmtId="3" xfId="0" applyAlignment="1" applyFont="1" applyNumberFormat="1">
      <alignment horizontal="right" vertical="bottom"/>
    </xf>
    <xf borderId="0" fillId="0" fontId="3" numFmtId="10"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Font="1"/>
    <xf borderId="0" fillId="0" fontId="3" numFmtId="0" xfId="0" applyAlignment="1" applyFont="1">
      <alignment readingOrder="0"/>
    </xf>
    <xf borderId="0" fillId="0" fontId="3" numFmtId="167" xfId="0" applyAlignment="1" applyFont="1" applyNumberFormat="1">
      <alignment horizontal="right" readingOrder="0" vertical="bottom"/>
    </xf>
    <xf borderId="0" fillId="0" fontId="2" numFmtId="166" xfId="0" applyAlignment="1" applyFont="1" applyNumberFormat="1">
      <alignment readingOrder="0"/>
    </xf>
    <xf borderId="0" fillId="0" fontId="2" numFmtId="0" xfId="0" applyAlignment="1" applyFont="1">
      <alignment readingOrder="0" shrinkToFit="0" wrapText="0"/>
    </xf>
    <xf borderId="0" fillId="0" fontId="2" numFmtId="167" xfId="0" applyAlignment="1" applyFont="1" applyNumberForma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15" numFmtId="0" xfId="0" applyAlignment="1" applyFont="1">
      <alignment readingOrder="0" shrinkToFit="0" vertical="bottom" wrapText="0"/>
    </xf>
    <xf borderId="4" fillId="0" fontId="3" numFmtId="167" xfId="0" applyAlignment="1" applyBorder="1" applyFont="1" applyNumberFormat="1">
      <alignment vertical="bottom"/>
    </xf>
    <xf borderId="0" fillId="0" fontId="2" numFmtId="0" xfId="0" applyAlignment="1" applyFont="1">
      <alignment readingOrder="0"/>
    </xf>
    <xf borderId="0" fillId="0" fontId="16" numFmtId="0" xfId="0" applyAlignment="1" applyFont="1">
      <alignment readingOrder="0"/>
    </xf>
    <xf borderId="0" fillId="4" fontId="17" numFmtId="167" xfId="0" applyAlignment="1" applyFill="1" applyFont="1" applyNumberFormat="1">
      <alignment vertical="bottom"/>
    </xf>
    <xf borderId="0" fillId="0" fontId="2" numFmtId="0" xfId="0" applyAlignment="1" applyFont="1">
      <alignment shrinkToFit="0" wrapText="0"/>
    </xf>
    <xf borderId="0" fillId="0" fontId="18" numFmtId="0" xfId="0" applyAlignment="1" applyFont="1">
      <alignment readingOrder="0"/>
    </xf>
    <xf borderId="0" fillId="0" fontId="3" numFmtId="0" xfId="0" applyAlignment="1" applyFont="1">
      <alignment horizontal="right" readingOrder="0" vertical="bottom"/>
    </xf>
    <xf borderId="5" fillId="0" fontId="19" numFmtId="0" xfId="0" applyAlignment="1" applyBorder="1" applyFont="1">
      <alignment shrinkToFit="0" vertical="bottom" wrapText="0"/>
    </xf>
  </cellXfs>
  <cellStyles count="1">
    <cellStyle xfId="0" name="Normal" builtinId="0"/>
  </cellStyles>
  <dxfs count="4">
    <dxf>
      <font/>
      <fill>
        <patternFill patternType="solid">
          <fgColor rgb="FFDFFFF0"/>
          <bgColor rgb="FFDFFFF0"/>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FFEADF"/>
          <bgColor rgb="FFFFEADF"/>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ransfermarkt.com/spielbericht/index/spielbericht/3476206"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al.com/it/partita/parma-vs-milan/c00f9sqimvmrnkmz5n8xknlsk"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lequipe.fr/Football/match-direct/trophee-des-champions/2020/psg-om-live/505182" TargetMode="External"/><Relationship Id="rId2"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2" width="14.13"/>
    <col customWidth="1" min="7" max="7" width="16.38"/>
    <col customWidth="1" min="8" max="8" width="17.0"/>
    <col customWidth="1" min="11" max="11" width="10.0"/>
    <col customWidth="1" min="12" max="12" width="8.0"/>
  </cols>
  <sheetData>
    <row r="1">
      <c r="A1" s="1"/>
      <c r="B1" s="2"/>
      <c r="C1" s="2"/>
      <c r="D1" s="2"/>
      <c r="E1" s="3"/>
      <c r="F1" s="4"/>
      <c r="G1" s="4"/>
      <c r="H1" s="4"/>
      <c r="I1" s="5"/>
      <c r="J1" s="6"/>
      <c r="K1" s="6"/>
      <c r="L1" s="6"/>
      <c r="M1" s="6"/>
      <c r="S1" s="4" t="s">
        <v>0</v>
      </c>
      <c r="Y1" s="6"/>
      <c r="Z1" s="6"/>
      <c r="AA1" s="7"/>
      <c r="AB1" s="6"/>
      <c r="AC1" s="6"/>
      <c r="AD1" s="5"/>
      <c r="AE1" s="4" t="s">
        <v>1</v>
      </c>
    </row>
    <row r="2">
      <c r="A2" s="1"/>
      <c r="B2" s="2" t="s">
        <v>2</v>
      </c>
      <c r="C2" s="2" t="s">
        <v>3</v>
      </c>
      <c r="D2" s="2" t="s">
        <v>4</v>
      </c>
      <c r="E2" s="3"/>
      <c r="F2" s="4" t="s">
        <v>5</v>
      </c>
      <c r="I2" s="5"/>
      <c r="J2" s="6" t="str">
        <f t="array" ref="J2:M2">TRANSPOSE(INDEX(INDIRECT(INDEX($F$4,0) &amp; "!$A$14:$A$17"),0))</f>
        <v>Goal</v>
      </c>
      <c r="K2" s="6" t="s">
        <v>6</v>
      </c>
      <c r="L2" s="6" t="s">
        <v>7</v>
      </c>
      <c r="M2" s="6" t="s">
        <v>8</v>
      </c>
      <c r="N2" s="1" t="s">
        <v>9</v>
      </c>
      <c r="O2" s="1" t="s">
        <v>10</v>
      </c>
      <c r="P2" s="1" t="s">
        <v>11</v>
      </c>
      <c r="Q2" s="1" t="s">
        <v>12</v>
      </c>
      <c r="R2" s="8"/>
      <c r="S2" s="6" t="str">
        <f t="array" ref="S2:V2">TRANSPOSE(INDEX(INDIRECT(INDEX($F$4,0) &amp; "!$A$14:$A$17"),0))</f>
        <v>Goal</v>
      </c>
      <c r="T2" s="6" t="s">
        <v>6</v>
      </c>
      <c r="U2" s="6" t="s">
        <v>7</v>
      </c>
      <c r="V2" s="6" t="s">
        <v>8</v>
      </c>
      <c r="W2" s="1" t="s">
        <v>13</v>
      </c>
      <c r="Y2" s="6" t="str">
        <f t="array" ref="Y2:AC2">TRANSPOSE(INDEX(INDIRECT(INDEX($F$4,0) &amp; "!$A$2:$A$6"),0))</f>
        <v>Redundant</v>
      </c>
      <c r="Z2" s="6" t="s">
        <v>14</v>
      </c>
      <c r="AA2" s="7" t="s">
        <v>15</v>
      </c>
      <c r="AB2" s="6" t="s">
        <v>16</v>
      </c>
      <c r="AC2" s="6" t="s">
        <v>17</v>
      </c>
      <c r="AD2" s="5"/>
      <c r="AE2" s="6" t="str">
        <f t="array" ref="AE2:AI2">TRANSPOSE(INDEX(INDIRECT(INDEX($F$4,0) &amp; "!$A$2:$A$6"),0))</f>
        <v>Redundant</v>
      </c>
      <c r="AF2" s="6" t="s">
        <v>14</v>
      </c>
      <c r="AG2" s="7" t="s">
        <v>15</v>
      </c>
      <c r="AH2" s="6" t="s">
        <v>16</v>
      </c>
      <c r="AI2" s="6" t="s">
        <v>17</v>
      </c>
      <c r="AJ2" s="1" t="s">
        <v>13</v>
      </c>
    </row>
    <row r="3">
      <c r="A3" s="1"/>
      <c r="B3" s="4" t="s">
        <v>18</v>
      </c>
      <c r="F3" s="1" t="s">
        <v>2</v>
      </c>
      <c r="G3" s="1" t="s">
        <v>3</v>
      </c>
      <c r="H3" s="1" t="s">
        <v>4</v>
      </c>
      <c r="J3" s="4" t="s">
        <v>2</v>
      </c>
      <c r="S3" s="4" t="s">
        <v>2</v>
      </c>
      <c r="Y3" s="4" t="s">
        <v>2</v>
      </c>
      <c r="AE3" s="4" t="s">
        <v>2</v>
      </c>
    </row>
    <row r="4">
      <c r="A4" s="1" t="s">
        <v>19</v>
      </c>
      <c r="B4" s="9">
        <f t="array" ref="B4">INDEX(INDIRECT(INDEX($F$4,0) &amp; "!$D$8"),0)</f>
        <v>0.6551724138</v>
      </c>
      <c r="C4" s="9">
        <f t="array" ref="C4">INDEX(INDIRECT(INDEX($G$4,0) &amp; "!$D$8"),0)</f>
        <v>0.6842105263</v>
      </c>
      <c r="D4" s="9">
        <f t="array" ref="D4">INDEX(INDIRECT(INDEX($H$4,0) &amp; "!$D$8"),0)</f>
        <v>0.7692307692</v>
      </c>
      <c r="E4" s="10"/>
      <c r="F4" s="11" t="s">
        <v>20</v>
      </c>
      <c r="G4" s="12" t="s">
        <v>21</v>
      </c>
      <c r="H4" s="11" t="s">
        <v>22</v>
      </c>
      <c r="J4" s="9">
        <f t="array" ref="J4">INDEX(INDIRECT(INDEX($F$4,0) &amp; "!$D$14"),0)</f>
        <v>1</v>
      </c>
      <c r="K4" s="9">
        <f t="array" ref="K4">INDEX(INDIRECT(INDEX($F$4,0) &amp; "!$D$15"),0)</f>
        <v>0.6666666667</v>
      </c>
      <c r="L4" s="9">
        <f t="array" ref="L4">INDEX(INDIRECT(INDEX($F$4,0) &amp; "!$D$16"),0)</f>
        <v>0.25</v>
      </c>
      <c r="M4" s="9">
        <f t="array" ref="M4">INDEX(INDIRECT(INDEX($F$4,0) &amp; "!$D$17"),0)</f>
        <v>0.5</v>
      </c>
      <c r="N4" s="13">
        <f t="array" ref="N4">SUM(J4:M4*S4:V4)/W4</f>
        <v>0.5714285714</v>
      </c>
      <c r="O4" s="14">
        <f t="array" ref="O4">SUM(J4:L4*S4:U4)/SUM(S4:U4)</f>
        <v>0.6</v>
      </c>
      <c r="P4" s="14">
        <f t="shared" ref="P4:P9" si="1">(J4*S4+K4*T4+M4*V4)/(S4+T4+V4)</f>
        <v>0.7</v>
      </c>
      <c r="Q4" s="14">
        <f t="array" ref="Q4">SUM(J4:K4*S4:T4)/SUM(S4:T4)</f>
        <v>0.8333333333</v>
      </c>
      <c r="S4" s="15">
        <f t="array" ref="S4">INDEX(INDIRECT(INDEX($F$4,0) &amp; "!$C$14"),0)</f>
        <v>3</v>
      </c>
      <c r="T4" s="15">
        <f t="array" ref="T4">INDEX(INDIRECT(INDEX($F$4,0) &amp; "!$C$15"),0)</f>
        <v>3</v>
      </c>
      <c r="U4" s="15">
        <f t="array" ref="U4">INDEX(INDIRECT(INDEX($F$4,0) &amp; "!$C$16"),0)</f>
        <v>4</v>
      </c>
      <c r="V4" s="15">
        <f t="array" ref="V4">INDEX(INDIRECT(INDEX($F$4,0) &amp; "!$C$17"),0)</f>
        <v>4</v>
      </c>
      <c r="W4" s="16">
        <f t="shared" ref="W4:W10" si="2">SUM(S4:V4)</f>
        <v>14</v>
      </c>
      <c r="Y4" s="9">
        <f t="array" ref="Y4">INDEX(INDIRECT(INDEX($F$4,0) &amp; "!$D$2"),0)</f>
        <v>0.03448275862</v>
      </c>
      <c r="Z4" s="9">
        <f t="array" ref="Z4">INDEX(INDIRECT(INDEX($F$4,0) &amp; "!$D$3"),0)</f>
        <v>0.2068965517</v>
      </c>
      <c r="AA4" s="9">
        <f t="array" ref="AA4">INDEX(INDIRECT(INDEX($F$4,0) &amp; "!$D$4"),0)</f>
        <v>0.1034482759</v>
      </c>
      <c r="AB4" s="9">
        <f t="array" ref="AB4">INDEX(INDIRECT(INDEX($F$4,0) &amp; "!$D$5"),0)</f>
        <v>0.275862069</v>
      </c>
      <c r="AC4" s="9">
        <f t="array" ref="AC4">INDEX(INDIRECT(INDEX($F$4,0) &amp; "!$D$6"),0)</f>
        <v>0.3793103448</v>
      </c>
      <c r="AE4" s="3">
        <f t="array" ref="AE4">INDEX(INDIRECT(INDEX($F$4,0) &amp; "!$C$2"),0)</f>
        <v>1</v>
      </c>
      <c r="AF4" s="3">
        <f t="array" ref="AF4">INDEX(INDIRECT(INDEX($F$4,0) &amp; "!$C$3"),0)</f>
        <v>6</v>
      </c>
      <c r="AG4" s="3">
        <f t="array" ref="AG4">INDEX(INDIRECT(INDEX($F$4,0) &amp; "!$C$4"),0)</f>
        <v>3</v>
      </c>
      <c r="AH4" s="3">
        <f t="array" ref="AH4">INDEX(INDIRECT(INDEX($F$4,0) &amp; "!$C$5"),0)</f>
        <v>8</v>
      </c>
      <c r="AI4" s="3">
        <f t="array" ref="AI4">INDEX(INDIRECT(INDEX($F$4,0) &amp; "!$C$6"),0)</f>
        <v>11</v>
      </c>
      <c r="AJ4" s="17">
        <f t="shared" ref="AJ4:AJ10" si="3">SUM(AE4:AI4)</f>
        <v>29</v>
      </c>
    </row>
    <row r="5">
      <c r="A5" s="1" t="s">
        <v>23</v>
      </c>
      <c r="B5" s="9">
        <f t="array" ref="B5">INDEX(INDIRECT(INDEX($F$5,0) &amp; "!$D$8"),0)</f>
        <v>0.5128205128</v>
      </c>
      <c r="C5" s="9">
        <f t="array" ref="C5">INDEX(INDIRECT(INDEX($G$5,0) &amp; "!$D$8"),0)</f>
        <v>0.75</v>
      </c>
      <c r="D5" s="9">
        <f t="array" ref="D5">INDEX(INDIRECT(INDEX($H$5,0) &amp; "!$D$8"),0)</f>
        <v>0.6666666667</v>
      </c>
      <c r="F5" s="12" t="s">
        <v>24</v>
      </c>
      <c r="G5" s="12" t="s">
        <v>25</v>
      </c>
      <c r="H5" s="11" t="s">
        <v>26</v>
      </c>
      <c r="J5" s="9">
        <f t="array" ref="J5">INDEX(INDIRECT(INDEX($F$5,0) &amp; "!$D$14"),0)</f>
        <v>1</v>
      </c>
      <c r="K5" s="9">
        <f t="array" ref="K5">INDEX(INDIRECT(INDEX($F$5,0) &amp; "!$D$15"),0)</f>
        <v>0.5</v>
      </c>
      <c r="L5" s="9">
        <f t="array" ref="L5">INDEX(INDIRECT(INDEX($F$5,0) &amp; "!$D$16"),0)</f>
        <v>0.5</v>
      </c>
      <c r="M5" s="9">
        <f t="array" ref="M5">INDEX(INDIRECT(INDEX($F$5,0) &amp; "!$D$17"),0)</f>
        <v>0.4444444444</v>
      </c>
      <c r="N5" s="13">
        <f t="array" ref="N5">SUM(J5:M5*S5:V5)/W5</f>
        <v>0.5555555556</v>
      </c>
      <c r="O5" s="14">
        <f t="array" ref="O5">SUM(J5:L5*S5:U5)/SUM(S5:U5)</f>
        <v>0.6666666667</v>
      </c>
      <c r="P5" s="14">
        <f t="shared" si="1"/>
        <v>0.5714285714</v>
      </c>
      <c r="Q5" s="14">
        <f t="array" ref="Q5">SUM(J5:K5*S5:T5)/SUM(S5:T5)</f>
        <v>0.8</v>
      </c>
      <c r="S5" s="15">
        <f t="array" ref="S5">INDEX(INDIRECT(INDEX($F$5,0) &amp; "!$C$14"),0)</f>
        <v>3</v>
      </c>
      <c r="T5" s="15">
        <f t="array" ref="T5">INDEX(INDIRECT(INDEX($F$5,0) &amp; "!$C$15"),0)</f>
        <v>2</v>
      </c>
      <c r="U5" s="15">
        <f t="array" ref="U5">INDEX(INDIRECT(INDEX($F$5,0) &amp; "!$C$16"),0)</f>
        <v>4</v>
      </c>
      <c r="V5" s="15">
        <f t="array" ref="V5">INDEX(INDIRECT(INDEX($F$5,0) &amp; "!$C$17"),0)</f>
        <v>9</v>
      </c>
      <c r="W5" s="16">
        <f t="shared" si="2"/>
        <v>18</v>
      </c>
      <c r="Y5" s="9">
        <f t="array" ref="Y5">INDEX(INDIRECT(INDEX($F$5,0) &amp; "!$D$2"),0)</f>
        <v>0.05128205128</v>
      </c>
      <c r="Z5" s="9">
        <f t="array" ref="Z5">INDEX(INDIRECT(INDEX($F$5,0) &amp; "!$D$3"),0)</f>
        <v>0.1282051282</v>
      </c>
      <c r="AA5" s="9">
        <f t="array" ref="AA5">INDEX(INDIRECT(INDEX($F$5,0) &amp; "!$D$4"),0)</f>
        <v>0.3076923077</v>
      </c>
      <c r="AB5" s="9">
        <f t="array" ref="AB5">INDEX(INDIRECT(INDEX($F$5,0) &amp; "!$D$5"),0)</f>
        <v>0.1538461538</v>
      </c>
      <c r="AC5" s="9">
        <f t="array" ref="AC5">INDEX(INDIRECT(INDEX($F$5,0) &amp; "!$D$6"),0)</f>
        <v>0.358974359</v>
      </c>
      <c r="AE5" s="3">
        <f t="array" ref="AE5">INDEX(INDIRECT(INDEX($F$5,0) &amp; "!$C$2"),0)</f>
        <v>2</v>
      </c>
      <c r="AF5" s="3">
        <f t="array" ref="AF5">INDEX(INDIRECT(INDEX($F$5,0) &amp; "!$C$3"),0)</f>
        <v>5</v>
      </c>
      <c r="AG5" s="3">
        <f t="array" ref="AG5">INDEX(INDIRECT(INDEX($F$5,0) &amp; "!$C$4"),0)</f>
        <v>12</v>
      </c>
      <c r="AH5" s="3">
        <f t="array" ref="AH5">INDEX(INDIRECT(INDEX($F$5,0) &amp; "!$C$5"),0)</f>
        <v>6</v>
      </c>
      <c r="AI5" s="3">
        <f t="array" ref="AI5">INDEX(INDIRECT(INDEX($F$5,0) &amp; "!$C$6"),0)</f>
        <v>14</v>
      </c>
      <c r="AJ5" s="17">
        <f t="shared" si="3"/>
        <v>39</v>
      </c>
    </row>
    <row r="6">
      <c r="A6" s="1" t="s">
        <v>27</v>
      </c>
      <c r="B6" s="9">
        <f t="array" ref="B6">INDEX(INDIRECT(INDEX($F$6,0) &amp; "!$D$8"),0)</f>
        <v>0.6285714286</v>
      </c>
      <c r="C6" s="9">
        <f t="array" ref="C6">INDEX(INDIRECT(INDEX($G$6,0) &amp; "!$D$8"),0)</f>
        <v>0.85</v>
      </c>
      <c r="D6" s="9">
        <f t="array" ref="D6">INDEX(INDIRECT(INDEX($H$6,0) &amp; "!$D$8"),0)</f>
        <v>0.75</v>
      </c>
      <c r="F6" s="12" t="s">
        <v>28</v>
      </c>
      <c r="G6" s="12" t="s">
        <v>29</v>
      </c>
      <c r="H6" s="11" t="s">
        <v>30</v>
      </c>
      <c r="J6" s="9">
        <f t="array" ref="J6">INDEX(INDIRECT(INDEX($F$6,0) &amp; "!$D$14"),0)</f>
        <v>1</v>
      </c>
      <c r="K6" s="9">
        <f t="array" ref="K6">INDEX(INDIRECT(INDEX($F$6,0) &amp; "!$D$15"),0)</f>
        <v>0.6666666667</v>
      </c>
      <c r="L6" s="9">
        <f t="array" ref="L6">INDEX(INDIRECT(INDEX($F$6,0) &amp; "!$D$16"),0)</f>
        <v>0.5</v>
      </c>
      <c r="M6" s="9">
        <f t="array" ref="M6">INDEX(INDIRECT(INDEX($F$6,0) &amp; "!$D$17"),0)</f>
        <v>0.75</v>
      </c>
      <c r="N6" s="13">
        <f t="array" ref="N6">SUM(J6:M6*S6:V6)/W6</f>
        <v>0.7222222222</v>
      </c>
      <c r="O6" s="14">
        <f t="array" ref="O6">SUM(J6:L6*S6:U6)/SUM(S6:U6)</f>
        <v>0.7</v>
      </c>
      <c r="P6" s="14">
        <f t="shared" si="1"/>
        <v>0.7857142857</v>
      </c>
      <c r="Q6" s="14">
        <f t="array" ref="Q6">SUM(J6:K6*S6:T6)/SUM(S6:T6)</f>
        <v>0.8333333333</v>
      </c>
      <c r="S6" s="15">
        <f t="array" ref="S6">INDEX(INDIRECT(INDEX($F$6,0) &amp; "!$C$14"),0)</f>
        <v>3</v>
      </c>
      <c r="T6" s="15">
        <f t="array" ref="T6">INDEX(INDIRECT(INDEX($F$6,0) &amp; "!$C$15"),0)</f>
        <v>3</v>
      </c>
      <c r="U6" s="15">
        <f t="array" ref="U6">INDEX(INDIRECT(INDEX($F$6,0) &amp; "!$C$16"),0)</f>
        <v>4</v>
      </c>
      <c r="V6" s="15">
        <f t="array" ref="V6">INDEX(INDIRECT(INDEX($F$6,0) &amp; "!$C$17"),0)</f>
        <v>8</v>
      </c>
      <c r="W6" s="16">
        <f t="shared" si="2"/>
        <v>18</v>
      </c>
      <c r="Y6" s="9">
        <f t="array" ref="Y6">INDEX(INDIRECT(INDEX($F$6,0) &amp; "!$D$2"),0)</f>
        <v>0.05714285714</v>
      </c>
      <c r="Z6" s="9">
        <f t="array" ref="Z6">INDEX(INDIRECT(INDEX($F$6,0) &amp; "!$D$3"),0)</f>
        <v>0.1428571429</v>
      </c>
      <c r="AA6" s="9">
        <f t="array" ref="AA6">INDEX(INDIRECT(INDEX($F$6,0) &amp; "!$D$4"),0)</f>
        <v>0.1714285714</v>
      </c>
      <c r="AB6" s="9">
        <f t="array" ref="AB6">INDEX(INDIRECT(INDEX($F$6,0) &amp; "!$D$5"),0)</f>
        <v>0.3428571429</v>
      </c>
      <c r="AC6" s="9">
        <f t="array" ref="AC6">INDEX(INDIRECT(INDEX($F$6,0) &amp; "!$D$6"),0)</f>
        <v>0.2857142857</v>
      </c>
      <c r="AE6" s="3">
        <f t="array" ref="AE6">INDEX(INDIRECT(INDEX($F$6,0) &amp; "!$C$2"),0)</f>
        <v>2</v>
      </c>
      <c r="AF6" s="3">
        <f t="array" ref="AF6">INDEX(INDIRECT(INDEX($F$6,0) &amp; "!$C$3"),0)</f>
        <v>5</v>
      </c>
      <c r="AG6" s="3">
        <f t="array" ref="AG6">INDEX(INDIRECT(INDEX($F$6,0) &amp; "!$C$4"),0)</f>
        <v>6</v>
      </c>
      <c r="AH6" s="3">
        <f t="array" ref="AH6">INDEX(INDIRECT(INDEX($F$6,0) &amp; "!$C$5"),0)</f>
        <v>12</v>
      </c>
      <c r="AI6" s="3">
        <f t="array" ref="AI6">INDEX(INDIRECT(INDEX($F$6,0) &amp; "!$C$6"),0)</f>
        <v>10</v>
      </c>
      <c r="AJ6" s="17">
        <f t="shared" si="3"/>
        <v>35</v>
      </c>
    </row>
    <row r="7">
      <c r="A7" s="1" t="s">
        <v>31</v>
      </c>
      <c r="B7" s="9">
        <f t="array" ref="B7">INDEX(INDIRECT(INDEX($F$7,0) &amp; "!$D$8"),0)</f>
        <v>0.5918367347</v>
      </c>
      <c r="C7" s="9">
        <f t="array" ref="C7">INDEX(INDIRECT(INDEX($G$7,0) &amp; "!$D$8"),0)</f>
        <v>0.7666666667</v>
      </c>
      <c r="D7" s="9">
        <f t="array" ref="D7">INDEX(INDIRECT(INDEX($H$7,0) &amp; "!$D$8"),0)</f>
        <v>0.7142857143</v>
      </c>
      <c r="F7" s="12" t="s">
        <v>32</v>
      </c>
      <c r="G7" s="12" t="s">
        <v>33</v>
      </c>
      <c r="H7" s="11" t="s">
        <v>34</v>
      </c>
      <c r="J7" s="9">
        <f t="array" ref="J7">INDEX(INDIRECT(INDEX($F$7,0) &amp; "!$D$14"),0)</f>
        <v>0.3333333333</v>
      </c>
      <c r="K7" s="9">
        <f t="array" ref="K7">INDEX(INDIRECT(INDEX($F$7,0) &amp; "!$D$15"),0)</f>
        <v>0.4285714286</v>
      </c>
      <c r="L7" s="9">
        <f t="array" ref="L7">INDEX(INDIRECT(INDEX($F$7,0) &amp; "!$D$16"),0)</f>
        <v>0.5</v>
      </c>
      <c r="M7" s="9">
        <f t="array" ref="M7">INDEX(INDIRECT(INDEX($F$7,0) &amp; "!$D$17"),0)</f>
        <v>0.4444444444</v>
      </c>
      <c r="N7" s="13">
        <f t="array" ref="N7">SUM(J7:M7*S7:V7)/W7</f>
        <v>0.4347826087</v>
      </c>
      <c r="O7" s="14">
        <f t="array" ref="O7">SUM(J7:L7*S7:U7)/SUM(S7:U7)</f>
        <v>0.4285714286</v>
      </c>
      <c r="P7" s="14">
        <f t="shared" si="1"/>
        <v>0.4210526316</v>
      </c>
      <c r="Q7" s="14">
        <f t="array" ref="Q7">SUM(J7:K7*S7:T7)/SUM(S7:T7)</f>
        <v>0.4</v>
      </c>
      <c r="S7" s="15">
        <f t="array" ref="S7">INDEX(INDIRECT(INDEX($F$7,0) &amp; "!$C$14"),0)</f>
        <v>3</v>
      </c>
      <c r="T7" s="15">
        <f t="array" ref="T7">INDEX(INDIRECT(INDEX($F$7,0) &amp; "!$C$15"),0)</f>
        <v>7</v>
      </c>
      <c r="U7" s="15">
        <f t="array" ref="U7">INDEX(INDIRECT(INDEX($F$7,0) &amp; "!$C$16"),0)</f>
        <v>4</v>
      </c>
      <c r="V7" s="15">
        <f t="array" ref="V7">INDEX(INDIRECT(INDEX($F$7,0) &amp; "!$C$17"),0)</f>
        <v>9</v>
      </c>
      <c r="W7" s="16">
        <f t="shared" si="2"/>
        <v>23</v>
      </c>
      <c r="Y7" s="9">
        <f t="array" ref="Y7">INDEX(INDIRECT(INDEX($F$7,0) &amp; "!$D$2"),0)</f>
        <v>0.04081632653</v>
      </c>
      <c r="Z7" s="9">
        <f t="array" ref="Z7">INDEX(INDIRECT(INDEX($F$7,0) &amp; "!$D$3"),0)</f>
        <v>0.2448979592</v>
      </c>
      <c r="AA7" s="9">
        <f t="array" ref="AA7">INDEX(INDIRECT(INDEX($F$7,0) &amp; "!$D$4"),0)</f>
        <v>0.1224489796</v>
      </c>
      <c r="AB7" s="9">
        <f t="array" ref="AB7">INDEX(INDIRECT(INDEX($F$7,0) &amp; "!$D$5"),0)</f>
        <v>0.2040816327</v>
      </c>
      <c r="AC7" s="9">
        <f t="array" ref="AC7">INDEX(INDIRECT(INDEX($F$7,0) &amp; "!$D$6"),0)</f>
        <v>0.387755102</v>
      </c>
      <c r="AE7" s="3">
        <f t="array" ref="AE7">INDEX(INDIRECT(INDEX($F$7,0) &amp; "!$C$2"),0)</f>
        <v>2</v>
      </c>
      <c r="AF7" s="3">
        <f t="array" ref="AF7">INDEX(INDIRECT(INDEX($F$7,0) &amp; "!$C$3"),0)</f>
        <v>12</v>
      </c>
      <c r="AG7" s="3">
        <f t="array" ref="AG7">INDEX(INDIRECT(INDEX($F$7,0) &amp; "!$C$4"),0)</f>
        <v>6</v>
      </c>
      <c r="AH7" s="3">
        <f t="array" ref="AH7">INDEX(INDIRECT(INDEX($F$7,0) &amp; "!$C$5"),0)</f>
        <v>10</v>
      </c>
      <c r="AI7" s="3">
        <f t="array" ref="AI7">INDEX(INDIRECT(INDEX($F$7,0) &amp; "!$C$6"),0)</f>
        <v>19</v>
      </c>
      <c r="AJ7" s="17">
        <f t="shared" si="3"/>
        <v>49</v>
      </c>
    </row>
    <row r="8">
      <c r="A8" s="1" t="s">
        <v>35</v>
      </c>
      <c r="B8" s="9">
        <f t="array" ref="B8">INDEX(INDIRECT(INDEX($F$8,0) &amp; "!$D$8"),0)</f>
        <v>0.4375</v>
      </c>
      <c r="C8" s="9">
        <f t="array" ref="C8">INDEX(INDIRECT(INDEX($G$8,0) &amp; "!$D$8"),0)</f>
        <v>0.5</v>
      </c>
      <c r="D8" s="9">
        <f t="array" ref="D8">INDEX(INDIRECT(INDEX($H$8,0) &amp; "!$D$8"),0)</f>
        <v>0.7083333333</v>
      </c>
      <c r="F8" s="12" t="s">
        <v>36</v>
      </c>
      <c r="G8" s="12" t="s">
        <v>37</v>
      </c>
      <c r="H8" s="11" t="s">
        <v>38</v>
      </c>
      <c r="J8" s="9">
        <f t="array" ref="J8">INDEX(INDIRECT(INDEX($F$8,0) &amp; "!$D$14"),0)</f>
        <v>1</v>
      </c>
      <c r="K8" s="9">
        <f t="array" ref="K8">INDEX(INDIRECT(INDEX($F$8,0) &amp; "!$D$15"),0)</f>
        <v>0</v>
      </c>
      <c r="L8" s="9">
        <f t="array" ref="L8">INDEX(INDIRECT(INDEX($F$8,0) &amp; "!$D$16"),0)</f>
        <v>0.25</v>
      </c>
      <c r="M8" s="9">
        <f t="array" ref="M8">INDEX(INDIRECT(INDEX($F$8,0) &amp; "!$D$17"),0)</f>
        <v>0.6</v>
      </c>
      <c r="N8" s="13">
        <f t="array" ref="N8">SUM(J8:M8*S8:V8)/W8</f>
        <v>0.5625</v>
      </c>
      <c r="O8" s="14">
        <f t="array" ref="O8">SUM(J8:L8*S8:U8)/SUM(S8:U8)</f>
        <v>0.5</v>
      </c>
      <c r="P8" s="14">
        <f t="shared" si="1"/>
        <v>0.6666666667</v>
      </c>
      <c r="Q8" s="14">
        <f t="array" ref="Q8">SUM(J8:K8*S8:T8)/SUM(S8:T8)</f>
        <v>1</v>
      </c>
      <c r="S8" s="15">
        <f t="array" ref="S8">INDEX(INDIRECT(INDEX($F$8,0) &amp; "!$C$14"),0)</f>
        <v>2</v>
      </c>
      <c r="T8" s="15">
        <f t="array" ref="T8">INDEX(INDIRECT(INDEX($F$8,0) &amp; "!$C$15"),0)</f>
        <v>0</v>
      </c>
      <c r="U8" s="15">
        <f t="array" ref="U8">INDEX(INDIRECT(INDEX($F$8,0) &amp; "!$C$16"),0)</f>
        <v>4</v>
      </c>
      <c r="V8" s="15">
        <f t="array" ref="V8">INDEX(INDIRECT(INDEX($F$8,0) &amp; "!$C$17"),0)</f>
        <v>10</v>
      </c>
      <c r="W8" s="16">
        <f t="shared" si="2"/>
        <v>16</v>
      </c>
      <c r="Y8" s="9">
        <f t="array" ref="Y8">INDEX(INDIRECT(INDEX($F$8,0) &amp; "!$D$2"),0)</f>
        <v>0.125</v>
      </c>
      <c r="Z8" s="9">
        <f t="array" ref="Z8">INDEX(INDIRECT(INDEX($F$8,0) &amp; "!$D$3"),0)</f>
        <v>0.15625</v>
      </c>
      <c r="AA8" s="9">
        <f t="array" ref="AA8">INDEX(INDIRECT(INDEX($F$8,0) &amp; "!$D$4"),0)</f>
        <v>0.28125</v>
      </c>
      <c r="AB8" s="9">
        <f t="array" ref="AB8">INDEX(INDIRECT(INDEX($F$8,0) &amp; "!$D$5"),0)</f>
        <v>0.25</v>
      </c>
      <c r="AC8" s="9">
        <f t="array" ref="AC8">INDEX(INDIRECT(INDEX($F$8,0) &amp; "!$D$6"),0)</f>
        <v>0.1875</v>
      </c>
      <c r="AE8" s="3">
        <f t="array" ref="AE8">INDEX(INDIRECT(INDEX($F$8,0) &amp; "!$C$2"),0)</f>
        <v>4</v>
      </c>
      <c r="AF8" s="3">
        <f t="array" ref="AF8">INDEX(INDIRECT(INDEX($F$8,0) &amp; "!$C$3"),0)</f>
        <v>5</v>
      </c>
      <c r="AG8" s="3">
        <f t="array" ref="AG8">INDEX(INDIRECT(INDEX($F$8,0) &amp; "!$C$4"),0)</f>
        <v>9</v>
      </c>
      <c r="AH8" s="3">
        <f t="array" ref="AH8">INDEX(INDIRECT(INDEX($F$8,0) &amp; "!$C$5"),0)</f>
        <v>8</v>
      </c>
      <c r="AI8" s="3">
        <f t="array" ref="AI8">INDEX(INDIRECT(INDEX($F$8,0) &amp; "!$C$6"),0)</f>
        <v>6</v>
      </c>
      <c r="AJ8" s="17">
        <f t="shared" si="3"/>
        <v>32</v>
      </c>
    </row>
    <row r="9">
      <c r="A9" s="1" t="s">
        <v>39</v>
      </c>
      <c r="B9" s="9">
        <f t="array" ref="B9">INDEX(INDIRECT(INDEX($F$9,0) &amp; "!$D$8"),0)</f>
        <v>0.4186046512</v>
      </c>
      <c r="C9" s="9">
        <f t="array" ref="C9">INDEX(INDIRECT(INDEX($G$9,0) &amp; "!$D$8"),0)</f>
        <v>0.7083333333</v>
      </c>
      <c r="D9" s="9">
        <f t="array" ref="D9">INDEX(INDIRECT(INDEX($H$9,0) &amp; "!$D$8"),0)</f>
        <v>0.6756756757</v>
      </c>
      <c r="E9" s="18" t="s">
        <v>40</v>
      </c>
      <c r="F9" s="12" t="s">
        <v>41</v>
      </c>
      <c r="G9" s="12" t="s">
        <v>42</v>
      </c>
      <c r="H9" s="11" t="s">
        <v>43</v>
      </c>
      <c r="J9" s="9">
        <f t="array" ref="J9">INDEX(INDIRECT(INDEX($F$9,0) &amp; "!$D$14"),0)</f>
        <v>1</v>
      </c>
      <c r="K9" s="9">
        <f t="array" ref="K9">INDEX(INDIRECT(INDEX($F$9,0) &amp; "!$D$15"),0)</f>
        <v>0.5</v>
      </c>
      <c r="L9" s="9">
        <f t="array" ref="L9">INDEX(INDIRECT(INDEX($F$9,0) &amp; "!$D$16"),0)</f>
        <v>0.25</v>
      </c>
      <c r="M9" s="9">
        <f t="array" ref="M9">INDEX(INDIRECT(INDEX($F$9,0) &amp; "!$D$17"),0)</f>
        <v>0.7142857143</v>
      </c>
      <c r="N9" s="13">
        <f t="array" ref="N9">SUM(J9:M9*S9:V9)/W9</f>
        <v>0.6</v>
      </c>
      <c r="O9" s="14">
        <f t="array" ref="O9">SUM(J9:L9*S9:U9)/SUM(S9:U9)</f>
        <v>0.5</v>
      </c>
      <c r="P9" s="14">
        <f t="shared" si="1"/>
        <v>0.7272727273</v>
      </c>
      <c r="Q9" s="14">
        <f t="array" ref="Q9">SUM(J9:K9*S9:T9)/SUM(S9:T9)</f>
        <v>0.75</v>
      </c>
      <c r="S9" s="15">
        <f t="array" ref="S9">INDEX(INDIRECT(INDEX($F$9,0) &amp; "!$C$14"),0)</f>
        <v>2</v>
      </c>
      <c r="T9" s="15">
        <f t="array" ref="T9">INDEX(INDIRECT(INDEX($F$9,0) &amp; "!$C$15"),0)</f>
        <v>2</v>
      </c>
      <c r="U9" s="15">
        <f t="array" ref="U9">INDEX(INDIRECT(INDEX($F$9,0) &amp; "!$C$16"),0)</f>
        <v>4</v>
      </c>
      <c r="V9" s="15">
        <f t="array" ref="V9">INDEX(INDIRECT(INDEX($F$9,0) &amp; "!$C$17"),0)</f>
        <v>7</v>
      </c>
      <c r="W9" s="16">
        <f t="shared" si="2"/>
        <v>15</v>
      </c>
      <c r="Y9" s="9">
        <f t="array" ref="Y9">INDEX(INDIRECT(INDEX($F$9,0) &amp; "!$D$2"),0)</f>
        <v>0.04651162791</v>
      </c>
      <c r="Z9" s="9">
        <f t="array" ref="Z9">INDEX(INDIRECT(INDEX($F$9,0) &amp; "!$D$3"),0)</f>
        <v>0.2790697674</v>
      </c>
      <c r="AA9" s="9">
        <f t="array" ref="AA9">INDEX(INDIRECT(INDEX($F$9,0) &amp; "!$D$4"),0)</f>
        <v>0.2558139535</v>
      </c>
      <c r="AB9" s="9">
        <f t="array" ref="AB9">INDEX(INDIRECT(INDEX($F$9,0) &amp; "!$D$5"),0)</f>
        <v>0.1860465116</v>
      </c>
      <c r="AC9" s="9">
        <f t="array" ref="AC9">INDEX(INDIRECT(INDEX($F$9,0) &amp; "!$D$6"),0)</f>
        <v>0.2325581395</v>
      </c>
      <c r="AE9" s="3">
        <f t="array" ref="AE9">INDEX(INDIRECT(INDEX($F$9,0) &amp; "!$C$2"),0)</f>
        <v>2</v>
      </c>
      <c r="AF9" s="3">
        <f t="array" ref="AF9">INDEX(INDIRECT(INDEX($F$9,0) &amp; "!$C$3"),0)</f>
        <v>12</v>
      </c>
      <c r="AG9" s="3">
        <f t="array" ref="AG9">INDEX(INDIRECT(INDEX($F$9,0) &amp; "!$C$4"),0)</f>
        <v>11</v>
      </c>
      <c r="AH9" s="3">
        <f t="array" ref="AH9">INDEX(INDIRECT(INDEX($F$9,0) &amp; "!$C$5"),0)</f>
        <v>8</v>
      </c>
      <c r="AI9" s="3">
        <f t="array" ref="AI9">INDEX(INDIRECT(INDEX($F$9,0) &amp; "!$C$6"),0)</f>
        <v>10</v>
      </c>
      <c r="AJ9" s="17">
        <f t="shared" si="3"/>
        <v>43</v>
      </c>
    </row>
    <row r="10">
      <c r="A10" s="1" t="s">
        <v>44</v>
      </c>
      <c r="B10" s="19">
        <f t="shared" ref="B10:D10" si="4">AVERAGE(B$4:B9)</f>
        <v>0.5407509568</v>
      </c>
      <c r="C10" s="19">
        <f t="shared" si="4"/>
        <v>0.7098684211</v>
      </c>
      <c r="D10" s="19">
        <f t="shared" si="4"/>
        <v>0.7140320265</v>
      </c>
      <c r="E10" s="20"/>
      <c r="F10" s="20"/>
      <c r="J10" s="19">
        <f t="shared" ref="J10:Q10" si="5">AVERAGE(J4:J9)</f>
        <v>0.8888888889</v>
      </c>
      <c r="K10" s="19">
        <f t="shared" si="5"/>
        <v>0.4603174603</v>
      </c>
      <c r="L10" s="19">
        <f t="shared" si="5"/>
        <v>0.375</v>
      </c>
      <c r="M10" s="19">
        <f t="shared" si="5"/>
        <v>0.5755291005</v>
      </c>
      <c r="N10" s="21">
        <f t="shared" si="5"/>
        <v>0.5744148263</v>
      </c>
      <c r="O10" s="19">
        <f t="shared" si="5"/>
        <v>0.5658730159</v>
      </c>
      <c r="P10" s="19">
        <f t="shared" si="5"/>
        <v>0.6453558138</v>
      </c>
      <c r="Q10" s="19">
        <f t="shared" si="5"/>
        <v>0.7694444444</v>
      </c>
      <c r="S10" s="22">
        <f t="shared" ref="S10:V10" si="6">SUM(S4:S9)</f>
        <v>16</v>
      </c>
      <c r="T10" s="22">
        <f t="shared" si="6"/>
        <v>17</v>
      </c>
      <c r="U10" s="22">
        <f t="shared" si="6"/>
        <v>24</v>
      </c>
      <c r="V10" s="22">
        <f t="shared" si="6"/>
        <v>47</v>
      </c>
      <c r="W10" s="23">
        <f t="shared" si="2"/>
        <v>104</v>
      </c>
      <c r="Y10" s="19">
        <f t="shared" ref="Y10:AC10" si="7">AVERAGE(Y$4:Y9)</f>
        <v>0.05920593691</v>
      </c>
      <c r="Z10" s="19">
        <f t="shared" si="7"/>
        <v>0.1930294249</v>
      </c>
      <c r="AA10" s="19">
        <f t="shared" si="7"/>
        <v>0.2070136813</v>
      </c>
      <c r="AB10" s="19">
        <f t="shared" si="7"/>
        <v>0.2354489183</v>
      </c>
      <c r="AC10" s="19">
        <f t="shared" si="7"/>
        <v>0.3053020385</v>
      </c>
      <c r="AD10" s="24">
        <f t="shared" ref="AD10:AD11" si="10">SUM(Y10:AC10)</f>
        <v>1</v>
      </c>
      <c r="AE10" s="25">
        <f t="shared" ref="AE10:AI10" si="8">SUM(AE4:AE9)</f>
        <v>13</v>
      </c>
      <c r="AF10" s="25">
        <f t="shared" si="8"/>
        <v>45</v>
      </c>
      <c r="AG10" s="25">
        <f t="shared" si="8"/>
        <v>47</v>
      </c>
      <c r="AH10" s="25">
        <f t="shared" si="8"/>
        <v>52</v>
      </c>
      <c r="AI10" s="25">
        <f t="shared" si="8"/>
        <v>70</v>
      </c>
      <c r="AJ10" s="26">
        <f t="shared" si="3"/>
        <v>227</v>
      </c>
    </row>
    <row r="11">
      <c r="A11" s="1" t="s">
        <v>45</v>
      </c>
      <c r="B11" s="9">
        <f t="array" ref="B11">SUM($B4:$B9*$AJ4:$AJ9)/$AJ10</f>
        <v>0.5374449339</v>
      </c>
      <c r="C11" s="9">
        <f t="array" ref="C11">SUM($C4:$C9*$AJ18:$AJ23)/$AJ24</f>
        <v>0.7153284672</v>
      </c>
      <c r="D11" s="9">
        <f t="array" ref="D11">SUM($D4:$D9*$AJ32:$AJ37)/$AJ38</f>
        <v>0.7142857143</v>
      </c>
      <c r="E11" s="20"/>
      <c r="F11" s="20"/>
      <c r="J11" s="14">
        <f t="array" ref="J11">SUM(J4:J9*S4:S9)/S10</f>
        <v>0.875</v>
      </c>
      <c r="K11" s="14">
        <f t="array" ref="K11">SUM(K4:K9*T4:T9)/T10</f>
        <v>0.5294117647</v>
      </c>
      <c r="L11" s="14">
        <f t="array" ref="L11">SUM(L4:L9*U4:U9)/U10</f>
        <v>0.375</v>
      </c>
      <c r="M11" s="14">
        <f t="array" ref="M11">SUM(M4:M9*V4:V9)/V10</f>
        <v>0.5744680851</v>
      </c>
      <c r="N11" s="13">
        <f t="array" ref="N11">SUM(N4:N9*W4:W9)/W10</f>
        <v>0.5673076923</v>
      </c>
      <c r="O11" s="14">
        <f t="array" ref="O11">SUM(O4:O9*W4:W9-V4:V9)/SUM(S10:U10)</f>
        <v>0.5614035088</v>
      </c>
      <c r="P11" s="14">
        <f t="array" ref="P11">SUM(P4:P9*W4:W9-U4:U9)/(SUM(S10:V10)-U10)</f>
        <v>0.625</v>
      </c>
      <c r="Q11" s="14">
        <f t="array" ref="Q11">SUM(Q4:Q9*S4:S9+T4:T9)/SUM(S10:T10)</f>
        <v>0.696969697</v>
      </c>
      <c r="Y11" s="14">
        <f t="shared" ref="Y11:AC11" si="9">AE10/$AJ10</f>
        <v>0.05726872247</v>
      </c>
      <c r="Z11" s="14">
        <f t="shared" si="9"/>
        <v>0.1982378855</v>
      </c>
      <c r="AA11" s="14">
        <f t="shared" si="9"/>
        <v>0.2070484581</v>
      </c>
      <c r="AB11" s="14">
        <f t="shared" si="9"/>
        <v>0.2290748899</v>
      </c>
      <c r="AC11" s="14">
        <f t="shared" si="9"/>
        <v>0.3083700441</v>
      </c>
      <c r="AD11" s="24">
        <f t="shared" si="10"/>
        <v>1</v>
      </c>
      <c r="AF11" s="27"/>
      <c r="AG11" s="27"/>
    </row>
    <row r="12">
      <c r="B12" s="4" t="s">
        <v>46</v>
      </c>
      <c r="C12" s="9">
        <f t="shared" ref="C12:C13" si="11">C10-B10</f>
        <v>0.1691174642</v>
      </c>
      <c r="D12" s="9">
        <f t="shared" ref="D12:D13" si="12">D10-B10</f>
        <v>0.1732810697</v>
      </c>
      <c r="E12" s="20"/>
      <c r="F12" s="28"/>
      <c r="L12" s="18" t="s">
        <v>40</v>
      </c>
      <c r="M12" s="18" t="s">
        <v>40</v>
      </c>
      <c r="O12" s="18" t="s">
        <v>40</v>
      </c>
      <c r="X12" s="4"/>
      <c r="Y12" s="4"/>
      <c r="Z12" s="4"/>
      <c r="AA12" s="4"/>
      <c r="AB12" s="4"/>
      <c r="AC12" s="4"/>
      <c r="AD12" s="14">
        <f>Y11+AB11+AC11</f>
        <v>0.5947136564</v>
      </c>
      <c r="AE12" s="1" t="s">
        <v>47</v>
      </c>
      <c r="AG12" s="27"/>
    </row>
    <row r="13">
      <c r="B13" s="4" t="s">
        <v>48</v>
      </c>
      <c r="C13" s="9">
        <f t="shared" si="11"/>
        <v>0.1778835332</v>
      </c>
      <c r="D13" s="9">
        <f t="shared" si="12"/>
        <v>0.1768407804</v>
      </c>
      <c r="E13" s="20"/>
      <c r="F13" s="28"/>
      <c r="AD13" s="14">
        <f>AB11+AC11</f>
        <v>0.5374449339</v>
      </c>
      <c r="AE13" s="1" t="s">
        <v>18</v>
      </c>
    </row>
    <row r="14">
      <c r="B14" s="29" t="s">
        <v>49</v>
      </c>
      <c r="C14" s="30">
        <f>TTEST(B$4:B9, C$4:C9, 1, 1)</f>
        <v>0.00503085649</v>
      </c>
      <c r="D14" s="31">
        <v>0.031</v>
      </c>
      <c r="E14" s="32" t="s">
        <v>50</v>
      </c>
      <c r="F14" s="28"/>
    </row>
    <row r="15">
      <c r="A15" s="1" t="s">
        <v>51</v>
      </c>
      <c r="B15" s="33">
        <f t="shared" ref="B15:D15" si="13">STDEV(B4:B9)</f>
        <v>0.09977479797</v>
      </c>
      <c r="C15" s="33">
        <f t="shared" si="13"/>
        <v>0.1176255771</v>
      </c>
      <c r="D15" s="33">
        <f t="shared" si="13"/>
        <v>0.04021895757</v>
      </c>
      <c r="E15" s="20"/>
      <c r="F15" s="28"/>
      <c r="L15" s="18"/>
      <c r="Z15" s="27"/>
      <c r="AA15" s="27"/>
      <c r="AF15" s="27"/>
      <c r="AG15" s="27"/>
    </row>
    <row r="16">
      <c r="B16" s="4" t="s">
        <v>52</v>
      </c>
      <c r="C16" s="4" t="b">
        <v>1</v>
      </c>
      <c r="D16" s="4" t="b">
        <v>0</v>
      </c>
      <c r="E16" s="20"/>
      <c r="F16" s="28"/>
      <c r="J16" s="4"/>
      <c r="K16" s="4"/>
      <c r="L16" s="4"/>
      <c r="M16" s="4"/>
      <c r="S16" s="4"/>
      <c r="T16" s="4"/>
      <c r="U16" s="4"/>
      <c r="V16" s="4"/>
      <c r="Y16" s="4"/>
      <c r="Z16" s="4"/>
      <c r="AA16" s="4"/>
      <c r="AB16" s="4"/>
      <c r="AC16" s="4"/>
      <c r="AE16" s="4"/>
      <c r="AF16" s="4"/>
      <c r="AG16" s="4"/>
      <c r="AH16" s="4"/>
      <c r="AI16" s="4"/>
    </row>
    <row r="17">
      <c r="B17" s="4" t="s">
        <v>9</v>
      </c>
      <c r="E17" s="20"/>
      <c r="F17" s="28"/>
      <c r="J17" s="4" t="s">
        <v>3</v>
      </c>
      <c r="S17" s="4" t="s">
        <v>3</v>
      </c>
      <c r="Y17" s="4" t="s">
        <v>3</v>
      </c>
      <c r="AE17" s="4" t="s">
        <v>3</v>
      </c>
    </row>
    <row r="18">
      <c r="A18" s="1" t="s">
        <v>19</v>
      </c>
      <c r="B18" s="9">
        <f t="array" ref="B18">INDEX(INDIRECT(INDEX($F$4,0) &amp; "!$D$18"),0)</f>
        <v>0.5714285714</v>
      </c>
      <c r="C18" s="9">
        <f t="array" ref="C18">INDEX(INDIRECT(INDEX($G$4,0) &amp; "!$D$18"),0)</f>
        <v>0.5</v>
      </c>
      <c r="D18" s="9">
        <f t="array" ref="D18">INDEX(INDIRECT(INDEX($H$4,0) &amp; "!$D$18"),0)</f>
        <v>0.5714285714</v>
      </c>
      <c r="E18" s="20"/>
      <c r="F18" s="20"/>
      <c r="G18" s="20"/>
      <c r="H18" s="20"/>
      <c r="I18" s="20"/>
      <c r="J18" s="9">
        <f t="array" ref="J18">INDEX(INDIRECT(INDEX($G$4,0) &amp; "!$D$14"),0)</f>
        <v>1</v>
      </c>
      <c r="K18" s="9">
        <f t="array" ref="K18">INDEX(INDIRECT(INDEX($G$4,0) &amp; "!$D$15"),0)</f>
        <v>0.6666666667</v>
      </c>
      <c r="L18" s="9">
        <f t="array" ref="L18">INDEX(INDIRECT(INDEX($G$4,0) &amp; "!$D$16"),0)</f>
        <v>0</v>
      </c>
      <c r="M18" s="9">
        <f t="array" ref="M18">INDEX(INDIRECT(INDEX($G$4,0) &amp; "!$D$17"),0)</f>
        <v>0.5</v>
      </c>
      <c r="N18" s="13">
        <f t="array" ref="N18">SUM(J18:M18*S18:V18)/W18</f>
        <v>0.5</v>
      </c>
      <c r="O18" s="14">
        <f t="array" ref="O18">SUM(J18:L18*S18:U18)/SUM(S18:U18)</f>
        <v>0.5</v>
      </c>
      <c r="P18" s="14">
        <f t="shared" ref="P18:P23" si="14">(J18*S18+K18*T18+M18*V18)/(S18+T18+V18)</f>
        <v>0.7</v>
      </c>
      <c r="Q18" s="14">
        <f t="array" ref="Q18">SUM(J18:K18*S18:T18)/SUM(S18:T18)</f>
        <v>0.8333333333</v>
      </c>
      <c r="S18" s="15">
        <f t="array" ref="S18">INDEX(INDIRECT(INDEX($G$4,0) &amp; "!$C$14"),0)</f>
        <v>3</v>
      </c>
      <c r="T18" s="15">
        <f t="array" ref="T18">INDEX(INDIRECT(INDEX($G$4,0) &amp; "!$C$15"),0)</f>
        <v>3</v>
      </c>
      <c r="U18" s="15">
        <f t="array" ref="U18">INDEX(INDIRECT(INDEX($G$4,0) &amp; "!$C$16"),0)</f>
        <v>4</v>
      </c>
      <c r="V18" s="15">
        <f t="array" ref="V18">INDEX(INDIRECT(INDEX($G$4,0) &amp; "!$C$17"),0)</f>
        <v>4</v>
      </c>
      <c r="W18" s="16">
        <f t="shared" ref="W18:W24" si="15">SUM(S18:V18)</f>
        <v>14</v>
      </c>
      <c r="Y18" s="9">
        <f t="array" ref="Y18">INDEX(INDIRECT(INDEX($G$4,0) &amp; "!$D$2"),0)</f>
        <v>0.1578947368</v>
      </c>
      <c r="Z18" s="9">
        <f t="array" ref="Z18">INDEX(INDIRECT(INDEX($G$4,0) &amp; "!$D$3"),0)</f>
        <v>0.05263157895</v>
      </c>
      <c r="AA18" s="9">
        <f t="array" ref="AA18">INDEX(INDIRECT(INDEX($G$4,0) &amp; "!$D$4"),0)</f>
        <v>0.1052631579</v>
      </c>
      <c r="AB18" s="9">
        <f t="array" ref="AB18">INDEX(INDIRECT(INDEX($G$4,0) &amp; "!$D$5"),0)</f>
        <v>0.3684210526</v>
      </c>
      <c r="AC18" s="9">
        <f t="array" ref="AC18">INDEX(INDIRECT(INDEX($G$4,0) &amp; "!$D$6"),0)</f>
        <v>0.3157894737</v>
      </c>
      <c r="AE18" s="3">
        <f t="array" ref="AE18">INDEX(INDIRECT(INDEX($G$4,0) &amp; "!$C$2"),0)</f>
        <v>3</v>
      </c>
      <c r="AF18" s="3">
        <f t="array" ref="AF18">INDEX(INDIRECT(INDEX($G$4,0) &amp; "!$C$3"),0)</f>
        <v>1</v>
      </c>
      <c r="AG18" s="3">
        <f t="array" ref="AG18">INDEX(INDIRECT(INDEX($G$4,0) &amp; "!$C$4"),0)</f>
        <v>2</v>
      </c>
      <c r="AH18" s="3">
        <f t="array" ref="AH18">INDEX(INDIRECT(INDEX($G$4,0) &amp; "!$C$5"),0)</f>
        <v>7</v>
      </c>
      <c r="AI18" s="3">
        <f t="array" ref="AI18">INDEX(INDIRECT(INDEX($G$4,0) &amp; "!$C$6"),0)</f>
        <v>6</v>
      </c>
      <c r="AJ18" s="17">
        <f t="shared" ref="AJ18:AJ24" si="16">SUM(AE18:AI18)</f>
        <v>19</v>
      </c>
      <c r="AK18" s="20"/>
      <c r="AL18" s="20"/>
      <c r="AM18" s="20"/>
      <c r="AN18" s="20"/>
      <c r="AO18" s="20"/>
    </row>
    <row r="19">
      <c r="A19" s="1" t="s">
        <v>23</v>
      </c>
      <c r="B19" s="9">
        <f t="array" ref="B19">INDEX(INDIRECT(INDEX($F$5,0) &amp; "!$D$18"),0)</f>
        <v>0.5555555556</v>
      </c>
      <c r="C19" s="9">
        <f t="array" ref="C19">INDEX(INDIRECT(INDEX($G$5,0) &amp; "!$D$18"),0)</f>
        <v>0.4444444444</v>
      </c>
      <c r="D19" s="9">
        <f t="array" ref="D19">INDEX(INDIRECT(INDEX($H$5,0) &amp; "!$D$18"),0)</f>
        <v>0.5</v>
      </c>
      <c r="E19" s="34"/>
      <c r="F19" s="28"/>
      <c r="G19" s="20"/>
      <c r="H19" s="20"/>
      <c r="I19" s="20"/>
      <c r="J19" s="9">
        <f t="array" ref="J19">INDEX(INDIRECT(INDEX($G$5,0) &amp; "!$D$14"),0)</f>
        <v>1</v>
      </c>
      <c r="K19" s="9">
        <f t="array" ref="K19">INDEX(INDIRECT(INDEX($G$5,0) &amp; "!$D$15"),0)</f>
        <v>0.5</v>
      </c>
      <c r="L19" s="9">
        <f t="array" ref="L19">INDEX(INDIRECT(INDEX($G$5,0) &amp; "!$D$16"),0)</f>
        <v>0.5</v>
      </c>
      <c r="M19" s="9">
        <f t="array" ref="M19">INDEX(INDIRECT(INDEX($G$5,0) &amp; "!$D$17"),0)</f>
        <v>0.2222222222</v>
      </c>
      <c r="N19" s="13">
        <f t="array" ref="N19">SUM(J19:M19*S19:V19)/W19</f>
        <v>0.4444444444</v>
      </c>
      <c r="O19" s="14">
        <f t="array" ref="O19">SUM(J19:L19*S19:U19)/SUM(S19:U19)</f>
        <v>0.6666666667</v>
      </c>
      <c r="P19" s="14">
        <f t="shared" si="14"/>
        <v>0.4285714286</v>
      </c>
      <c r="Q19" s="14">
        <f t="array" ref="Q19">SUM(J19:K19*S19:T19)/SUM(S19:T19)</f>
        <v>0.8</v>
      </c>
      <c r="S19" s="15">
        <f t="array" ref="S19">INDEX(INDIRECT(INDEX($G$5,0) &amp; "!$C$14"),0)</f>
        <v>3</v>
      </c>
      <c r="T19" s="15">
        <f t="array" ref="T19">INDEX(INDIRECT(INDEX($G$5,0) &amp; "!$C$15"),0)</f>
        <v>2</v>
      </c>
      <c r="U19" s="15">
        <f t="array" ref="U19">INDEX(INDIRECT(INDEX($G$5,0) &amp; "!$C$16"),0)</f>
        <v>4</v>
      </c>
      <c r="V19" s="15">
        <f t="array" ref="V19">INDEX(INDIRECT(INDEX($G$5,0) &amp; "!$C$17"),0)</f>
        <v>9</v>
      </c>
      <c r="W19" s="16">
        <f t="shared" si="15"/>
        <v>18</v>
      </c>
      <c r="Y19" s="9">
        <f t="array" ref="Y19">INDEX(INDIRECT(INDEX($G$5,0) &amp; "!$D$2"),0)</f>
        <v>0.08333333333</v>
      </c>
      <c r="Z19" s="9">
        <f t="array" ref="Z19">INDEX(INDIRECT(INDEX($G$5,0) &amp; "!$D$3"),0)</f>
        <v>0</v>
      </c>
      <c r="AA19" s="9">
        <f t="array" ref="AA19">INDEX(INDIRECT(INDEX($G$5,0) &amp; "!$D$4"),0)</f>
        <v>0.1666666667</v>
      </c>
      <c r="AB19" s="9">
        <f t="array" ref="AB19">INDEX(INDIRECT(INDEX($G$5,0) &amp; "!$D$5"),0)</f>
        <v>0.25</v>
      </c>
      <c r="AC19" s="9">
        <f t="array" ref="AC19">INDEX(INDIRECT(INDEX($G$5,0) &amp; "!$D$6"),0)</f>
        <v>0.5</v>
      </c>
      <c r="AE19" s="3">
        <f t="array" ref="AE19">INDEX(INDIRECT(INDEX($G$5,0) &amp; "!$C$2"),0)</f>
        <v>2</v>
      </c>
      <c r="AF19" s="3">
        <f t="array" ref="AF19">INDEX(INDIRECT(INDEX($G$5,0) &amp; "!$C$3"),0)</f>
        <v>0</v>
      </c>
      <c r="AG19" s="3">
        <f t="array" ref="AG19">INDEX(INDIRECT(INDEX($G$5,0) &amp; "!$C$4"),0)</f>
        <v>4</v>
      </c>
      <c r="AH19" s="3">
        <f t="array" ref="AH19">INDEX(INDIRECT(INDEX($G$5,0) &amp; "!$C$5"),0)</f>
        <v>6</v>
      </c>
      <c r="AI19" s="3">
        <f t="array" ref="AI19">INDEX(INDIRECT(INDEX($G$5,0) &amp; "!$C$6"),0)</f>
        <v>12</v>
      </c>
      <c r="AJ19" s="17">
        <f t="shared" si="16"/>
        <v>24</v>
      </c>
      <c r="AK19" s="20"/>
      <c r="AL19" s="20"/>
      <c r="AM19" s="20"/>
      <c r="AN19" s="20"/>
      <c r="AO19" s="20"/>
    </row>
    <row r="20">
      <c r="A20" s="1" t="s">
        <v>27</v>
      </c>
      <c r="B20" s="9">
        <f t="array" ref="B20">INDEX(INDIRECT(INDEX($F$6,0) &amp; "!$D$18"),0)</f>
        <v>0.7222222222</v>
      </c>
      <c r="C20" s="9">
        <f t="array" ref="C20">INDEX(INDIRECT(INDEX($G$6,0) &amp; "!$D$18"),0)</f>
        <v>0.5555555556</v>
      </c>
      <c r="D20" s="9">
        <f t="array" ref="D20">INDEX(INDIRECT(INDEX($H$6,0) &amp; "!$D$18"),0)</f>
        <v>0.6666666667</v>
      </c>
      <c r="E20" s="34"/>
      <c r="F20" s="20"/>
      <c r="G20" s="20"/>
      <c r="H20" s="20"/>
      <c r="I20" s="20"/>
      <c r="J20" s="9">
        <f t="array" ref="J20">INDEX(INDIRECT(INDEX($G$6,0) &amp; "!$D$14"),0)</f>
        <v>1</v>
      </c>
      <c r="K20" s="9">
        <f t="array" ref="K20">INDEX(INDIRECT(INDEX($G$6,0) &amp; "!$D$15"),0)</f>
        <v>0.6666666667</v>
      </c>
      <c r="L20" s="9">
        <f t="array" ref="L20">INDEX(INDIRECT(INDEX($G$6,0) &amp; "!$D$16"),0)</f>
        <v>0.75</v>
      </c>
      <c r="M20" s="9">
        <f t="array" ref="M20">INDEX(INDIRECT(INDEX($G$6,0) &amp; "!$D$17"),0)</f>
        <v>0.25</v>
      </c>
      <c r="N20" s="13">
        <f t="array" ref="N20">SUM(J20:M20*S20:V20)/W20</f>
        <v>0.5555555556</v>
      </c>
      <c r="O20" s="14">
        <f t="array" ref="O20">SUM(J20:L20*S20:U20)/SUM(S20:U20)</f>
        <v>0.8</v>
      </c>
      <c r="P20" s="14">
        <f t="shared" si="14"/>
        <v>0.5</v>
      </c>
      <c r="Q20" s="14">
        <f t="array" ref="Q20">SUM(J20:K20*S20:T20)/SUM(S20:T20)</f>
        <v>0.8333333333</v>
      </c>
      <c r="S20" s="15">
        <f t="array" ref="S20">INDEX(INDIRECT(INDEX($G$6,0) &amp; "!$C$14"),0)</f>
        <v>3</v>
      </c>
      <c r="T20" s="15">
        <f t="array" ref="T20">INDEX(INDIRECT(INDEX($G$6,0) &amp; "!$C$15"),0)</f>
        <v>3</v>
      </c>
      <c r="U20" s="15">
        <f t="array" ref="U20">INDEX(INDIRECT(INDEX($G$6,0) &amp; "!$C$16"),0)</f>
        <v>4</v>
      </c>
      <c r="V20" s="15">
        <f t="array" ref="V20">INDEX(INDIRECT(INDEX($G$6,0) &amp; "!$C$17"),0)</f>
        <v>8</v>
      </c>
      <c r="W20" s="16">
        <f t="shared" si="15"/>
        <v>18</v>
      </c>
      <c r="Y20" s="9">
        <f t="array" ref="Y20">INDEX(INDIRECT(INDEX($G$6,0) &amp; "!$D$2"),0)</f>
        <v>0</v>
      </c>
      <c r="Z20" s="9">
        <f t="array" ref="Z20">INDEX(INDIRECT(INDEX($G$6,0) &amp; "!$D$3"),0)</f>
        <v>0.15</v>
      </c>
      <c r="AA20" s="9">
        <f t="array" ref="AA20">INDEX(INDIRECT(INDEX($G$6,0) &amp; "!$D$4"),0)</f>
        <v>0</v>
      </c>
      <c r="AB20" s="9">
        <f t="array" ref="AB20">INDEX(INDIRECT(INDEX($G$6,0) &amp; "!$D$5"),0)</f>
        <v>0.4</v>
      </c>
      <c r="AC20" s="9">
        <f t="array" ref="AC20">INDEX(INDIRECT(INDEX($G$6,0) &amp; "!$D$6"),0)</f>
        <v>0.45</v>
      </c>
      <c r="AE20" s="3">
        <f t="array" ref="AE20">INDEX(INDIRECT(INDEX($G$6,0) &amp; "!$C$2"),0)</f>
        <v>0</v>
      </c>
      <c r="AF20" s="3">
        <f t="array" ref="AF20">INDEX(INDIRECT(INDEX($G$6,0) &amp; "!$C$3"),0)</f>
        <v>3</v>
      </c>
      <c r="AG20" s="3">
        <f t="array" ref="AG20">INDEX(INDIRECT(INDEX($G$6,0) &amp; "!$C$4"),0)</f>
        <v>0</v>
      </c>
      <c r="AH20" s="3">
        <f t="array" ref="AH20">INDEX(INDIRECT(INDEX($G$6,0) &amp; "!$C$5"),0)</f>
        <v>8</v>
      </c>
      <c r="AI20" s="3">
        <f t="array" ref="AI20">INDEX(INDIRECT(INDEX($G$6,0) &amp; "!$C$6"),0)</f>
        <v>9</v>
      </c>
      <c r="AJ20" s="17">
        <f t="shared" si="16"/>
        <v>20</v>
      </c>
      <c r="AK20" s="20"/>
      <c r="AL20" s="20"/>
      <c r="AM20" s="20"/>
      <c r="AN20" s="20"/>
      <c r="AO20" s="20"/>
    </row>
    <row r="21">
      <c r="A21" s="1" t="s">
        <v>31</v>
      </c>
      <c r="B21" s="9">
        <f t="array" ref="B21">INDEX(INDIRECT(INDEX($F$7,0) &amp; "!$D$18"),0)</f>
        <v>0.4347826087</v>
      </c>
      <c r="C21" s="9">
        <f t="array" ref="C21">INDEX(INDIRECT(INDEX($G$7,0) &amp; "!$D$18"),0)</f>
        <v>0.4347826087</v>
      </c>
      <c r="D21" s="9">
        <f t="array" ref="D21">INDEX(INDIRECT(INDEX($H$7,0) &amp; "!$D$18"),0)</f>
        <v>0.4347826087</v>
      </c>
      <c r="E21" s="34"/>
      <c r="F21" s="20"/>
      <c r="G21" s="20"/>
      <c r="H21" s="20"/>
      <c r="I21" s="20"/>
      <c r="J21" s="9">
        <f t="array" ref="J21">INDEX(INDIRECT(INDEX($G$7,0) &amp; "!$D$14"),0)</f>
        <v>1</v>
      </c>
      <c r="K21" s="9">
        <f t="array" ref="K21">INDEX(INDIRECT(INDEX($G$7,0) &amp; "!$D$15"),0)</f>
        <v>0.4285714286</v>
      </c>
      <c r="L21" s="9">
        <f t="array" ref="L21">INDEX(INDIRECT(INDEX($G$7,0) &amp; "!$D$16"),0)</f>
        <v>0.5</v>
      </c>
      <c r="M21" s="9">
        <f t="array" ref="M21">INDEX(INDIRECT(INDEX($G$7,0) &amp; "!$D$17"),0)</f>
        <v>0.2222222222</v>
      </c>
      <c r="N21" s="13">
        <f t="array" ref="N21">SUM(J21:M21*S21:V21)/W21</f>
        <v>0.4347826087</v>
      </c>
      <c r="O21" s="14">
        <f t="array" ref="O21">SUM(J21:L21*S21:U21)/SUM(S21:U21)</f>
        <v>0.5714285714</v>
      </c>
      <c r="P21" s="14">
        <f t="shared" si="14"/>
        <v>0.4210526316</v>
      </c>
      <c r="Q21" s="14">
        <f t="array" ref="Q21">SUM(J21:K21*S21:T21)/SUM(S21:T21)</f>
        <v>0.6</v>
      </c>
      <c r="S21" s="15">
        <f t="array" ref="S21">INDEX(INDIRECT(INDEX($G$7,0) &amp; "!$C$14"),0)</f>
        <v>3</v>
      </c>
      <c r="T21" s="15">
        <f t="array" ref="T21">INDEX(INDIRECT(INDEX($G$7,0) &amp; "!$C$15"),0)</f>
        <v>7</v>
      </c>
      <c r="U21" s="15">
        <f t="array" ref="U21">INDEX(INDIRECT(INDEX($G$7,0) &amp; "!$C$16"),0)</f>
        <v>4</v>
      </c>
      <c r="V21" s="15">
        <f t="array" ref="V21">INDEX(INDIRECT(INDEX($G$7,0) &amp; "!$C$17"),0)</f>
        <v>9</v>
      </c>
      <c r="W21" s="16">
        <f t="shared" si="15"/>
        <v>23</v>
      </c>
      <c r="Y21" s="9">
        <f t="array" ref="Y21">INDEX(INDIRECT(INDEX($G$7,0) &amp; "!$D$2"),0)</f>
        <v>0.06666666667</v>
      </c>
      <c r="Z21" s="9">
        <f t="array" ref="Z21">INDEX(INDIRECT(INDEX($G$7,0) &amp; "!$D$3"),0)</f>
        <v>0.06666666667</v>
      </c>
      <c r="AA21" s="9">
        <f t="array" ref="AA21">INDEX(INDIRECT(INDEX($G$7,0) &amp; "!$D$4"),0)</f>
        <v>0.1</v>
      </c>
      <c r="AB21" s="9">
        <f t="array" ref="AB21">INDEX(INDIRECT(INDEX($G$7,0) &amp; "!$D$5"),0)</f>
        <v>0.3333333333</v>
      </c>
      <c r="AC21" s="9">
        <f t="array" ref="AC21">INDEX(INDIRECT(INDEX($G$7,0) &amp; "!$D$6"),0)</f>
        <v>0.4333333333</v>
      </c>
      <c r="AE21" s="3">
        <f t="array" ref="AE21">INDEX(INDIRECT(INDEX($G$7,0) &amp; "!$C$2"),0)</f>
        <v>2</v>
      </c>
      <c r="AF21" s="3">
        <f t="array" ref="AF21">INDEX(INDIRECT(INDEX($G$7,0) &amp; "!$C$3"),0)</f>
        <v>2</v>
      </c>
      <c r="AG21" s="3">
        <f t="array" ref="AG21">INDEX(INDIRECT(INDEX($G$7,0) &amp; "!$C$4"),0)</f>
        <v>3</v>
      </c>
      <c r="AH21" s="3">
        <f t="array" ref="AH21">INDEX(INDIRECT(INDEX($G$7,0) &amp; "!$C$5"),0)</f>
        <v>10</v>
      </c>
      <c r="AI21" s="3">
        <f t="array" ref="AI21">INDEX(INDIRECT(INDEX($G$7,0) &amp; "!$C$6"),0)</f>
        <v>13</v>
      </c>
      <c r="AJ21" s="17">
        <f t="shared" si="16"/>
        <v>30</v>
      </c>
      <c r="AK21" s="20"/>
      <c r="AL21" s="20"/>
      <c r="AM21" s="20"/>
      <c r="AN21" s="20"/>
      <c r="AO21" s="20"/>
    </row>
    <row r="22">
      <c r="A22" s="1" t="s">
        <v>35</v>
      </c>
      <c r="B22" s="9">
        <f t="array" ref="B22">INDEX(INDIRECT(INDEX($F$8,0) &amp; "!$D$18"),0)</f>
        <v>0.5625</v>
      </c>
      <c r="C22" s="9">
        <f t="array" ref="C22">INDEX(INDIRECT(INDEX($G$8,0) &amp; "!$D$18"),0)</f>
        <v>0.125</v>
      </c>
      <c r="D22" s="9">
        <f t="array" ref="D22">INDEX(INDIRECT(INDEX($H$8,0) &amp; "!$D$18"),0)</f>
        <v>0.625</v>
      </c>
      <c r="E22" s="34"/>
      <c r="F22" s="20"/>
      <c r="G22" s="20"/>
      <c r="H22" s="20"/>
      <c r="I22" s="20"/>
      <c r="J22" s="9">
        <f t="array" ref="J22">INDEX(INDIRECT(INDEX($G$8,0) &amp; "!$D$14"),0)</f>
        <v>1</v>
      </c>
      <c r="K22" s="9">
        <f t="array" ref="K22">INDEX(INDIRECT(INDEX($G$8,0) &amp; "!$D$15"),0)</f>
        <v>0</v>
      </c>
      <c r="L22" s="9">
        <f t="array" ref="L22">INDEX(INDIRECT(INDEX($G$8,0) &amp; "!$D$16"),0)</f>
        <v>0</v>
      </c>
      <c r="M22" s="9">
        <f t="array" ref="M22">INDEX(INDIRECT(INDEX($G$8,0) &amp; "!$D$17"),0)</f>
        <v>0</v>
      </c>
      <c r="N22" s="13">
        <f t="array" ref="N22">SUM(J22:M22*S22:V22)/W22</f>
        <v>0.125</v>
      </c>
      <c r="O22" s="14">
        <f t="array" ref="O22">SUM(J22:L22*S22:U22)/SUM(S22:U22)</f>
        <v>0.3333333333</v>
      </c>
      <c r="P22" s="14">
        <f t="shared" si="14"/>
        <v>0.1666666667</v>
      </c>
      <c r="Q22" s="14">
        <f t="array" ref="Q22">SUM(J22:K22*S22:T22)/SUM(S22:T22)</f>
        <v>1</v>
      </c>
      <c r="S22" s="15">
        <f t="array" ref="S22">INDEX(INDIRECT(INDEX($G$8,0) &amp; "!$C$14"),0)</f>
        <v>2</v>
      </c>
      <c r="T22" s="15">
        <f t="array" ref="T22">INDEX(INDIRECT(INDEX($G$8,0) &amp; "!$C$15"),0)</f>
        <v>0</v>
      </c>
      <c r="U22" s="15">
        <f t="array" ref="U22">INDEX(INDIRECT(INDEX($G$8,0) &amp; "!$C$16"),0)</f>
        <v>4</v>
      </c>
      <c r="V22" s="15">
        <f t="array" ref="V22">INDEX(INDIRECT(INDEX($G$8,0) &amp; "!$C$17"),0)</f>
        <v>10</v>
      </c>
      <c r="W22" s="16">
        <f t="shared" si="15"/>
        <v>16</v>
      </c>
      <c r="Y22" s="9">
        <f t="array" ref="Y22">INDEX(INDIRECT(INDEX($G$8,0) &amp; "!$D$2"),0)</f>
        <v>0.25</v>
      </c>
      <c r="Z22" s="9">
        <f t="array" ref="Z22">INDEX(INDIRECT(INDEX($G$8,0) &amp; "!$D$3"),0)</f>
        <v>0</v>
      </c>
      <c r="AA22" s="9">
        <f t="array" ref="AA22">INDEX(INDIRECT(INDEX($G$8,0) &amp; "!$D$4"),0)</f>
        <v>0.25</v>
      </c>
      <c r="AB22" s="9">
        <f t="array" ref="AB22">INDEX(INDIRECT(INDEX($G$8,0) &amp; "!$D$5"),0)</f>
        <v>0.1</v>
      </c>
      <c r="AC22" s="9">
        <f t="array" ref="AC22">INDEX(INDIRECT(INDEX($G$8,0) &amp; "!$D$6"),0)</f>
        <v>0.4</v>
      </c>
      <c r="AE22" s="3">
        <f t="array" ref="AE22">INDEX(INDIRECT(INDEX($G$8,0) &amp; "!$C$2"),0)</f>
        <v>5</v>
      </c>
      <c r="AF22" s="3">
        <f t="array" ref="AF22">INDEX(INDIRECT(INDEX($G$8,0) &amp; "!$C$3"),0)</f>
        <v>0</v>
      </c>
      <c r="AG22" s="3">
        <f t="array" ref="AG22">INDEX(INDIRECT(INDEX($G$8,0) &amp; "!$C$4"),0)</f>
        <v>5</v>
      </c>
      <c r="AH22" s="3">
        <f t="array" ref="AH22">INDEX(INDIRECT(INDEX($G$8,0) &amp; "!$C$5"),0)</f>
        <v>2</v>
      </c>
      <c r="AI22" s="3">
        <f t="array" ref="AI22">INDEX(INDIRECT(INDEX($G$8,0) &amp; "!$C$6"),0)</f>
        <v>8</v>
      </c>
      <c r="AJ22" s="17">
        <f t="shared" si="16"/>
        <v>20</v>
      </c>
      <c r="AK22" s="20"/>
      <c r="AL22" s="20"/>
      <c r="AM22" s="20"/>
      <c r="AN22" s="20"/>
      <c r="AO22" s="20"/>
    </row>
    <row r="23">
      <c r="A23" s="1" t="s">
        <v>39</v>
      </c>
      <c r="B23" s="9">
        <f t="array" ref="B23">INDEX(INDIRECT(INDEX($F$9,0) &amp; "!$D$18"),0)</f>
        <v>0.6</v>
      </c>
      <c r="C23" s="9">
        <f t="array" ref="C23">INDEX(INDIRECT(INDEX($G$9,0) &amp; "!$D$18"),0)</f>
        <v>0.4666666667</v>
      </c>
      <c r="D23" s="9">
        <f t="array" ref="D23">INDEX(INDIRECT(INDEX($H$9,0) &amp; "!$D$18"),0)</f>
        <v>0.6</v>
      </c>
      <c r="E23" s="34"/>
      <c r="F23" s="20"/>
      <c r="G23" s="20"/>
      <c r="H23" s="20"/>
      <c r="I23" s="20"/>
      <c r="J23" s="9">
        <f t="array" ref="J23">INDEX(INDIRECT(INDEX($G$9,0) &amp; "!$D$14"),0)</f>
        <v>1</v>
      </c>
      <c r="K23" s="9">
        <f t="array" ref="K23">INDEX(INDIRECT(INDEX($G$9,0) &amp; "!$D$15"),0)</f>
        <v>0.5</v>
      </c>
      <c r="L23" s="9">
        <f t="array" ref="L23">INDEX(INDIRECT(INDEX($G$9,0) &amp; "!$D$16"),0)</f>
        <v>0</v>
      </c>
      <c r="M23" s="9">
        <f t="array" ref="M23">INDEX(INDIRECT(INDEX($G$9,0) &amp; "!$D$17"),0)</f>
        <v>0.5714285714</v>
      </c>
      <c r="N23" s="13">
        <f t="array" ref="N23">SUM(J23:M23*S23:V23)/W23</f>
        <v>0.4666666667</v>
      </c>
      <c r="O23" s="14">
        <f t="array" ref="O23">SUM(J23:L23*S23:U23)/SUM(S23:U23)</f>
        <v>0.375</v>
      </c>
      <c r="P23" s="14">
        <f t="shared" si="14"/>
        <v>0.6363636364</v>
      </c>
      <c r="Q23" s="14">
        <f t="array" ref="Q23">SUM(J23:K23*S23:T23)/SUM(S23:T23)</f>
        <v>0.75</v>
      </c>
      <c r="S23" s="15">
        <f t="array" ref="S23">INDEX(INDIRECT(INDEX($G$9,0) &amp; "!$C$14"),0)</f>
        <v>2</v>
      </c>
      <c r="T23" s="15">
        <f t="array" ref="T23">INDEX(INDIRECT(INDEX($G$9,0) &amp; "!$C$15"),0)</f>
        <v>2</v>
      </c>
      <c r="U23" s="15">
        <f t="array" ref="U23">INDEX(INDIRECT(INDEX($G$9,0) &amp; "!$C$16"),0)</f>
        <v>4</v>
      </c>
      <c r="V23" s="15">
        <f t="array" ref="V23">INDEX(INDIRECT(INDEX($G$9,0) &amp; "!$C$17"),0)</f>
        <v>7</v>
      </c>
      <c r="W23" s="16">
        <f t="shared" si="15"/>
        <v>15</v>
      </c>
      <c r="X23" s="18" t="s">
        <v>40</v>
      </c>
      <c r="Y23" s="9">
        <f t="array" ref="Y23">INDEX(INDIRECT(INDEX($G$9,0) &amp; "!$D$2"),0)</f>
        <v>0.04166666667</v>
      </c>
      <c r="Z23" s="9">
        <f t="array" ref="Z23">INDEX(INDIRECT(INDEX($G$9,0) &amp; "!$D$3"),0)</f>
        <v>0.125</v>
      </c>
      <c r="AA23" s="9">
        <f t="array" ref="AA23">INDEX(INDIRECT(INDEX($G$9,0) &amp; "!$D$4"),0)</f>
        <v>0.125</v>
      </c>
      <c r="AB23" s="9">
        <f t="array" ref="AB23">INDEX(INDIRECT(INDEX($G$9,0) &amp; "!$D$5"),0)</f>
        <v>0.25</v>
      </c>
      <c r="AC23" s="9">
        <f t="array" ref="AC23">INDEX(INDIRECT(INDEX($G$9,0) &amp; "!$D$6"),0)</f>
        <v>0.4583333333</v>
      </c>
      <c r="AE23" s="3">
        <f t="array" ref="AE23">INDEX(INDIRECT(INDEX($G$9,0) &amp; "!$C$2"),0)</f>
        <v>1</v>
      </c>
      <c r="AF23" s="3">
        <f t="array" ref="AF23">INDEX(INDIRECT(INDEX($G$9,0) &amp; "!$C$3"),0)</f>
        <v>3</v>
      </c>
      <c r="AG23" s="3">
        <f t="array" ref="AG23">INDEX(INDIRECT(INDEX($G$9,0) &amp; "!$C$4"),0)</f>
        <v>3</v>
      </c>
      <c r="AH23" s="3">
        <f t="array" ref="AH23">INDEX(INDIRECT(INDEX($G$9,0) &amp; "!$C$5"),0)</f>
        <v>6</v>
      </c>
      <c r="AI23" s="3">
        <f t="array" ref="AI23">INDEX(INDIRECT(INDEX($G$9,0) &amp; "!$C$6"),0)</f>
        <v>11</v>
      </c>
      <c r="AJ23" s="17">
        <f t="shared" si="16"/>
        <v>24</v>
      </c>
      <c r="AK23" s="20"/>
      <c r="AL23" s="20"/>
      <c r="AM23" s="20"/>
      <c r="AN23" s="20"/>
      <c r="AO23" s="20"/>
    </row>
    <row r="24">
      <c r="A24" s="1" t="s">
        <v>44</v>
      </c>
      <c r="B24" s="19">
        <f t="shared" ref="B24:D24" si="17">AVERAGE(B$18:B23)</f>
        <v>0.5744148263</v>
      </c>
      <c r="C24" s="19">
        <f t="shared" si="17"/>
        <v>0.4210748792</v>
      </c>
      <c r="D24" s="19">
        <f t="shared" si="17"/>
        <v>0.5663129745</v>
      </c>
      <c r="E24" s="32" t="s">
        <v>40</v>
      </c>
      <c r="I24" s="18" t="s">
        <v>40</v>
      </c>
      <c r="J24" s="19">
        <f t="shared" ref="J24:Q24" si="18">AVERAGE(J18:J23)</f>
        <v>1</v>
      </c>
      <c r="K24" s="19">
        <f t="shared" si="18"/>
        <v>0.4603174603</v>
      </c>
      <c r="L24" s="19">
        <f t="shared" si="18"/>
        <v>0.2916666667</v>
      </c>
      <c r="M24" s="19">
        <f t="shared" si="18"/>
        <v>0.2943121693</v>
      </c>
      <c r="N24" s="21">
        <f t="shared" si="18"/>
        <v>0.4210748792</v>
      </c>
      <c r="O24" s="19">
        <f t="shared" si="18"/>
        <v>0.5410714286</v>
      </c>
      <c r="P24" s="19">
        <f t="shared" si="18"/>
        <v>0.4754423939</v>
      </c>
      <c r="Q24" s="19">
        <f t="shared" si="18"/>
        <v>0.8027777778</v>
      </c>
      <c r="S24" s="22">
        <f t="shared" ref="S24:V24" si="19">SUM(S18:S23)</f>
        <v>16</v>
      </c>
      <c r="T24" s="22">
        <f t="shared" si="19"/>
        <v>17</v>
      </c>
      <c r="U24" s="22">
        <f t="shared" si="19"/>
        <v>24</v>
      </c>
      <c r="V24" s="22">
        <f t="shared" si="19"/>
        <v>47</v>
      </c>
      <c r="W24" s="23">
        <f t="shared" si="15"/>
        <v>104</v>
      </c>
      <c r="Y24" s="19">
        <f t="shared" ref="Y24:AC24" si="20">AVERAGE(Y18:Y23)</f>
        <v>0.09992690058</v>
      </c>
      <c r="Z24" s="19">
        <f t="shared" si="20"/>
        <v>0.06571637427</v>
      </c>
      <c r="AA24" s="19">
        <f t="shared" si="20"/>
        <v>0.1244883041</v>
      </c>
      <c r="AB24" s="19">
        <f t="shared" si="20"/>
        <v>0.283625731</v>
      </c>
      <c r="AC24" s="19">
        <f t="shared" si="20"/>
        <v>0.4262426901</v>
      </c>
      <c r="AD24" s="24">
        <f t="shared" ref="AD24:AD25" si="23">SUM(Y24:AC24)</f>
        <v>1</v>
      </c>
      <c r="AE24" s="25">
        <f t="shared" ref="AE24:AI24" si="21">SUM(AE18:AE23)</f>
        <v>13</v>
      </c>
      <c r="AF24" s="25">
        <f t="shared" si="21"/>
        <v>9</v>
      </c>
      <c r="AG24" s="25">
        <f t="shared" si="21"/>
        <v>17</v>
      </c>
      <c r="AH24" s="25">
        <f t="shared" si="21"/>
        <v>39</v>
      </c>
      <c r="AI24" s="25">
        <f t="shared" si="21"/>
        <v>59</v>
      </c>
      <c r="AJ24" s="26">
        <f t="shared" si="16"/>
        <v>137</v>
      </c>
      <c r="AK24" s="20"/>
      <c r="AL24" s="20"/>
      <c r="AM24" s="20"/>
      <c r="AN24" s="20"/>
      <c r="AO24" s="20"/>
    </row>
    <row r="25">
      <c r="A25" s="1" t="s">
        <v>45</v>
      </c>
      <c r="B25" s="9">
        <f t="array" ref="B25">SUM($B18:$B23*$W4:$W9)/$W10</f>
        <v>0.5673076923</v>
      </c>
      <c r="C25" s="9">
        <f t="array" ref="C25">SUM($C18:$C23*$W18:$W23)/$W24</f>
        <v>0.4230769231</v>
      </c>
      <c r="D25" s="9">
        <f t="array" ref="D25">SUM($D18:$D23*$W32:$W37)/$W38</f>
        <v>0.5576923077</v>
      </c>
      <c r="E25" s="32" t="s">
        <v>40</v>
      </c>
      <c r="F25" s="20"/>
      <c r="J25" s="14">
        <f t="array" ref="J25">SUM(J18:J23*S18:S23)/S24</f>
        <v>1</v>
      </c>
      <c r="K25" s="14">
        <f t="array" ref="K25">SUM(K18:K23*T18:T23)/T24</f>
        <v>0.5294117647</v>
      </c>
      <c r="L25" s="14">
        <f t="array" ref="L25">SUM(L18:L23*U18:U23)/U24</f>
        <v>0.2916666667</v>
      </c>
      <c r="M25" s="14">
        <f t="array" ref="M25">SUM(M18:M23*V18:V23)/V24</f>
        <v>0.2553191489</v>
      </c>
      <c r="N25" s="13">
        <f t="array" ref="N25">SUM(N18:N23*W18:W23)/W24</f>
        <v>0.4230769231</v>
      </c>
      <c r="O25" s="14">
        <f t="array" ref="O25">SUM(O18:O23*W18:W23-V18:V23)/SUM(S24:U24)</f>
        <v>0.5614035088</v>
      </c>
      <c r="P25" s="14">
        <f t="array" ref="P25">SUM(P18:P23*W18:W23-U18:U23)/(SUM(S24:V24)-U24)</f>
        <v>0.4625</v>
      </c>
      <c r="Q25" s="14">
        <f t="array" ref="Q25">SUM(Q18:Q23*S18:S23+T18:T23)/SUM(S24:T24)</f>
        <v>0.7575757576</v>
      </c>
      <c r="Y25" s="14">
        <f t="shared" ref="Y25:AC25" si="22">AE24/$AJ24</f>
        <v>0.09489051095</v>
      </c>
      <c r="Z25" s="14">
        <f t="shared" si="22"/>
        <v>0.06569343066</v>
      </c>
      <c r="AA25" s="14">
        <f t="shared" si="22"/>
        <v>0.1240875912</v>
      </c>
      <c r="AB25" s="14">
        <f t="shared" si="22"/>
        <v>0.2846715328</v>
      </c>
      <c r="AC25" s="14">
        <f t="shared" si="22"/>
        <v>0.4306569343</v>
      </c>
      <c r="AD25" s="24">
        <f t="shared" si="23"/>
        <v>1</v>
      </c>
      <c r="AK25" s="20"/>
      <c r="AL25" s="20"/>
      <c r="AM25" s="20"/>
      <c r="AN25" s="20"/>
      <c r="AO25" s="20"/>
    </row>
    <row r="26">
      <c r="B26" s="4" t="s">
        <v>46</v>
      </c>
      <c r="C26" s="9">
        <f t="shared" ref="C26:C27" si="25">C24-B24</f>
        <v>-0.1533399471</v>
      </c>
      <c r="D26" s="9">
        <f t="shared" ref="D26:D27" si="26">D24-B24</f>
        <v>-0.008101851852</v>
      </c>
      <c r="E26" s="20"/>
      <c r="F26" s="20"/>
      <c r="I26" s="35" t="s">
        <v>49</v>
      </c>
      <c r="J26" s="36">
        <v>0.65472</v>
      </c>
      <c r="K26" s="37">
        <v>2.0</v>
      </c>
      <c r="L26" s="38">
        <f t="shared" ref="L26:Q26" si="24">TTEST(L$4:L$9, L18:L23, 1, 1)</f>
        <v>0.1816087338</v>
      </c>
      <c r="M26" s="38">
        <f t="shared" si="24"/>
        <v>0.01417706817</v>
      </c>
      <c r="N26" s="39">
        <f t="shared" si="24"/>
        <v>0.02741770759</v>
      </c>
      <c r="O26" s="30">
        <f t="shared" si="24"/>
        <v>0.3257714384</v>
      </c>
      <c r="P26" s="30">
        <f t="shared" si="24"/>
        <v>0.04203451259</v>
      </c>
      <c r="Q26" s="30">
        <f t="shared" si="24"/>
        <v>0.1816087338</v>
      </c>
      <c r="X26" s="1" t="s">
        <v>49</v>
      </c>
      <c r="Y26" s="30">
        <f>TTEST(Y18:Y23, Y$4:Y$9, 1, 1)</f>
        <v>0.1121688862</v>
      </c>
      <c r="Z26" s="31">
        <v>0.063</v>
      </c>
      <c r="AA26" s="30">
        <f>TTEST(AA18:AA23, AA$4:AA$9, 1, 1)</f>
        <v>0.02014640148</v>
      </c>
      <c r="AB26" s="31">
        <v>0.438</v>
      </c>
      <c r="AC26" s="30">
        <f>TTEST(AC18:AC23, AC$4:AC$9, 1, 1)</f>
        <v>0.0220641207</v>
      </c>
      <c r="AD26" s="14">
        <f>Y25+AB25+AC25</f>
        <v>0.8102189781</v>
      </c>
      <c r="AE26" s="1" t="s">
        <v>47</v>
      </c>
      <c r="AG26" s="27"/>
      <c r="AK26" s="20"/>
      <c r="AL26" s="20"/>
      <c r="AM26" s="20"/>
      <c r="AN26" s="20"/>
      <c r="AO26" s="20"/>
    </row>
    <row r="27">
      <c r="B27" s="4" t="s">
        <v>48</v>
      </c>
      <c r="C27" s="9">
        <f t="shared" si="25"/>
        <v>-0.1442307692</v>
      </c>
      <c r="D27" s="9">
        <f t="shared" si="26"/>
        <v>-0.009615384615</v>
      </c>
      <c r="E27" s="20"/>
      <c r="F27" s="20"/>
      <c r="I27" s="4" t="s">
        <v>52</v>
      </c>
      <c r="J27" s="4" t="b">
        <v>0</v>
      </c>
      <c r="K27" s="4" t="b">
        <v>0</v>
      </c>
      <c r="L27" s="4" t="b">
        <v>1</v>
      </c>
      <c r="M27" s="4" t="b">
        <v>1</v>
      </c>
      <c r="X27" s="1" t="s">
        <v>53</v>
      </c>
      <c r="Y27" s="40" t="b">
        <v>1</v>
      </c>
      <c r="Z27" s="41" t="b">
        <v>0</v>
      </c>
      <c r="AA27" s="40" t="b">
        <v>1</v>
      </c>
      <c r="AB27" s="41" t="b">
        <v>0</v>
      </c>
      <c r="AC27" s="40" t="b">
        <v>1</v>
      </c>
      <c r="AD27" s="14">
        <f>AB25+AC25</f>
        <v>0.7153284672</v>
      </c>
      <c r="AE27" s="1" t="s">
        <v>18</v>
      </c>
      <c r="AK27" s="20"/>
      <c r="AL27" s="20"/>
      <c r="AM27" s="20"/>
      <c r="AN27" s="20"/>
      <c r="AO27" s="20"/>
    </row>
    <row r="28">
      <c r="B28" s="1" t="s">
        <v>49</v>
      </c>
      <c r="C28" s="30">
        <f>TTEST(B$18:B23, C$18:C23, 1, 1)</f>
        <v>0.02741770759</v>
      </c>
      <c r="D28" s="30">
        <f>TTEST(B$18:B23, D$18:D23, 1, 1)</f>
        <v>0.3354681097</v>
      </c>
      <c r="E28" s="20"/>
      <c r="F28" s="20"/>
      <c r="J28" s="18"/>
      <c r="AK28" s="20"/>
      <c r="AL28" s="20"/>
      <c r="AM28" s="20"/>
      <c r="AN28" s="20"/>
      <c r="AO28" s="20"/>
    </row>
    <row r="29">
      <c r="A29" s="1" t="s">
        <v>51</v>
      </c>
      <c r="B29" s="33">
        <f t="shared" ref="B29:D29" si="27">STDEV(B18:B23)</f>
        <v>0.09220123263</v>
      </c>
      <c r="C29" s="33">
        <f t="shared" si="27"/>
        <v>0.1515171347</v>
      </c>
      <c r="D29" s="33">
        <f t="shared" si="27"/>
        <v>0.08529204327</v>
      </c>
      <c r="E29" s="20"/>
      <c r="F29" s="20"/>
      <c r="Z29" s="18"/>
      <c r="AA29" s="27"/>
      <c r="AF29" s="27"/>
      <c r="AG29" s="27"/>
      <c r="AK29" s="20"/>
      <c r="AL29" s="20"/>
      <c r="AM29" s="20"/>
      <c r="AN29" s="20"/>
      <c r="AO29" s="20"/>
    </row>
    <row r="30">
      <c r="B30" s="4" t="s">
        <v>52</v>
      </c>
      <c r="C30" s="4" t="b">
        <v>1</v>
      </c>
      <c r="D30" s="4" t="b">
        <v>1</v>
      </c>
      <c r="E30" s="20"/>
      <c r="F30" s="20"/>
      <c r="J30" s="4"/>
      <c r="K30" s="4"/>
      <c r="L30" s="4"/>
      <c r="M30" s="4"/>
      <c r="S30" s="4"/>
      <c r="T30" s="4"/>
      <c r="U30" s="4"/>
      <c r="V30" s="4"/>
      <c r="Y30" s="4"/>
      <c r="Z30" s="4"/>
      <c r="AA30" s="4"/>
      <c r="AB30" s="4"/>
      <c r="AC30" s="4"/>
      <c r="AE30" s="4"/>
      <c r="AF30" s="4"/>
      <c r="AG30" s="4"/>
      <c r="AH30" s="4"/>
      <c r="AI30" s="4"/>
      <c r="AK30" s="20"/>
      <c r="AL30" s="20"/>
      <c r="AM30" s="20"/>
      <c r="AN30" s="20"/>
      <c r="AO30" s="20"/>
    </row>
    <row r="31">
      <c r="B31" s="4" t="s">
        <v>54</v>
      </c>
      <c r="E31" s="20"/>
      <c r="F31" s="20"/>
      <c r="J31" s="4" t="s">
        <v>4</v>
      </c>
      <c r="S31" s="4" t="s">
        <v>4</v>
      </c>
      <c r="Y31" s="4" t="s">
        <v>4</v>
      </c>
      <c r="AE31" s="4" t="s">
        <v>4</v>
      </c>
      <c r="AK31" s="20"/>
      <c r="AL31" s="20"/>
      <c r="AM31" s="20"/>
      <c r="AN31" s="20"/>
      <c r="AO31" s="20"/>
    </row>
    <row r="32">
      <c r="A32" s="1" t="s">
        <v>19</v>
      </c>
      <c r="B32" s="9">
        <f t="shared" ref="B32:D32" si="28">IF(B4, 2*B4*B18/(B4+B18), "")</f>
        <v>0.6104417671</v>
      </c>
      <c r="C32" s="9">
        <f t="shared" si="28"/>
        <v>0.5777777778</v>
      </c>
      <c r="D32" s="9">
        <f t="shared" si="28"/>
        <v>0.6557377049</v>
      </c>
      <c r="E32" s="20"/>
      <c r="F32" s="20"/>
      <c r="G32" s="20"/>
      <c r="H32" s="20"/>
      <c r="I32" s="20"/>
      <c r="J32" s="9">
        <f t="array" ref="J32">INDEX(INDIRECT(INDEX($H$4,0) &amp; "!$D$14"),0)</f>
        <v>0.6666666667</v>
      </c>
      <c r="K32" s="9">
        <f t="array" ref="K32">INDEX(INDIRECT(INDEX($H$4,0) &amp; "!$D$15"),0)</f>
        <v>0.6666666667</v>
      </c>
      <c r="L32" s="9">
        <f t="array" ref="L32">INDEX(INDIRECT(INDEX($H$4,0) &amp; "!$D$16"),0)</f>
        <v>0.5</v>
      </c>
      <c r="M32" s="9">
        <f t="array" ref="M32">INDEX(INDIRECT(INDEX($H$4,0) &amp; "!$D$17"),0)</f>
        <v>0.5</v>
      </c>
      <c r="N32" s="13">
        <f t="array" ref="N32">SUM(J32:M32*S32:V32)/W32</f>
        <v>0.5714285714</v>
      </c>
      <c r="O32" s="14">
        <f t="array" ref="O32">SUM(J32:L32*S32:U32)/SUM(S32:U32)</f>
        <v>0.6</v>
      </c>
      <c r="P32" s="14">
        <f t="shared" ref="P32:P37" si="30">(J32*S32+K32*T32+M32*V32)/(S32+T32+V32)</f>
        <v>0.6</v>
      </c>
      <c r="Q32" s="14">
        <f t="array" ref="Q32">SUM(J32:K32*S32:T32)/SUM(S32:T32)</f>
        <v>0.6666666667</v>
      </c>
      <c r="S32" s="15">
        <f t="array" ref="S32">INDEX(INDIRECT(INDEX($H$4,0) &amp; "!$C$14"),0)</f>
        <v>3</v>
      </c>
      <c r="T32" s="15">
        <f t="array" ref="T32">INDEX(INDIRECT(INDEX($H$4,0) &amp; "!$C$15"),0)</f>
        <v>3</v>
      </c>
      <c r="U32" s="15">
        <f t="array" ref="U32">INDEX(INDIRECT(INDEX($H$4,0) &amp; "!$C$16"),0)</f>
        <v>4</v>
      </c>
      <c r="V32" s="15">
        <f t="array" ref="V32">INDEX(INDIRECT(INDEX($H$4,0) &amp; "!$C$17"),0)</f>
        <v>4</v>
      </c>
      <c r="W32" s="16">
        <f t="shared" ref="W32:W38" si="31">SUM(S32:V32)</f>
        <v>14</v>
      </c>
      <c r="Y32" s="9">
        <f t="array" ref="Y32">INDEX(INDIRECT(INDEX($H$4,0) &amp; "!$D$2"),0)</f>
        <v>0.02564102564</v>
      </c>
      <c r="Z32" s="9">
        <f t="array" ref="Z32">INDEX(INDIRECT(INDEX($H$4,0) &amp; "!$D$3"),0)</f>
        <v>0.07692307692</v>
      </c>
      <c r="AA32" s="9">
        <f t="array" ref="AA32">INDEX(INDIRECT(INDEX($H$4,0) &amp; "!$D$4"),0)</f>
        <v>0.1282051282</v>
      </c>
      <c r="AB32" s="9">
        <f t="array" ref="AB32">INDEX(INDIRECT(INDEX($H$4,0) &amp; "!$D$5"),0)</f>
        <v>0.2051282051</v>
      </c>
      <c r="AC32" s="9">
        <f t="array" ref="AC32">INDEX(INDIRECT(INDEX($H$4,0) &amp; "!$D$6"),0)</f>
        <v>0.5641025641</v>
      </c>
      <c r="AE32" s="3">
        <f t="array" ref="AE32">INDEX(INDIRECT(INDEX($H$4,0) &amp; "!$C$2"),0)</f>
        <v>1</v>
      </c>
      <c r="AF32" s="3">
        <f t="array" ref="AF32">INDEX(INDIRECT(INDEX($H$4,0) &amp; "!$C$3"),0)</f>
        <v>3</v>
      </c>
      <c r="AG32" s="3">
        <f t="array" ref="AG32">INDEX(INDIRECT(INDEX($H$4,0) &amp; "!$C$4"),0)</f>
        <v>5</v>
      </c>
      <c r="AH32" s="3">
        <f t="array" ref="AH32">INDEX(INDIRECT(INDEX($H$4,0) &amp; "!$C$5"),0)</f>
        <v>8</v>
      </c>
      <c r="AI32" s="3">
        <f t="array" ref="AI32">INDEX(INDIRECT(INDEX($H$4,0) &amp; "!$C$6"),0)</f>
        <v>22</v>
      </c>
      <c r="AJ32" s="17">
        <f t="shared" ref="AJ32:AJ38" si="32">SUM(AE32:AI32)</f>
        <v>39</v>
      </c>
      <c r="AK32" s="20"/>
      <c r="AL32" s="20"/>
      <c r="AM32" s="20"/>
      <c r="AN32" s="20"/>
      <c r="AO32" s="20"/>
    </row>
    <row r="33">
      <c r="A33" s="1" t="s">
        <v>23</v>
      </c>
      <c r="B33" s="9">
        <f t="shared" ref="B33:D33" si="29">IF(B5, 2*B5*B19/(B5+B19), "")</f>
        <v>0.5333333333</v>
      </c>
      <c r="C33" s="9">
        <f t="shared" si="29"/>
        <v>0.5581395349</v>
      </c>
      <c r="D33" s="9">
        <f t="shared" si="29"/>
        <v>0.5714285714</v>
      </c>
      <c r="E33" s="20"/>
      <c r="F33" s="20"/>
      <c r="G33" s="20"/>
      <c r="H33" s="20"/>
      <c r="I33" s="20"/>
      <c r="J33" s="9">
        <f t="array" ref="J33">INDEX(INDIRECT(INDEX($H$5,0) &amp; "!$D$14"),0)</f>
        <v>1</v>
      </c>
      <c r="K33" s="9">
        <f t="array" ref="K33">INDEX(INDIRECT(INDEX($H$5,0) &amp; "!$D$15"),0)</f>
        <v>0</v>
      </c>
      <c r="L33" s="9">
        <f t="array" ref="L33">INDEX(INDIRECT(INDEX($H$5,0) &amp; "!$D$16"),0)</f>
        <v>0.25</v>
      </c>
      <c r="M33" s="9">
        <f t="array" ref="M33">INDEX(INDIRECT(INDEX($H$5,0) &amp; "!$D$17"),0)</f>
        <v>0.5555555556</v>
      </c>
      <c r="N33" s="13">
        <f t="array" ref="N33">SUM(J33:M33*S33:V33)/W33</f>
        <v>0.5</v>
      </c>
      <c r="O33" s="14">
        <f t="array" ref="O33">SUM(J33:L33*S33:U33)/SUM(S33:U33)</f>
        <v>0.4444444444</v>
      </c>
      <c r="P33" s="14">
        <f t="shared" si="30"/>
        <v>0.5714285714</v>
      </c>
      <c r="Q33" s="14">
        <f t="array" ref="Q33">SUM(J33:K33*S33:T33)/SUM(S33:T33)</f>
        <v>0.6</v>
      </c>
      <c r="S33" s="15">
        <f t="array" ref="S33">INDEX(INDIRECT(INDEX($H$5,0) &amp; "!$C$14"),0)</f>
        <v>3</v>
      </c>
      <c r="T33" s="15">
        <f t="array" ref="T33">INDEX(INDIRECT(INDEX($H$5,0) &amp; "!$C$15"),0)</f>
        <v>2</v>
      </c>
      <c r="U33" s="15">
        <f t="array" ref="U33">INDEX(INDIRECT(INDEX($H$5,0) &amp; "!$C$16"),0)</f>
        <v>4</v>
      </c>
      <c r="V33" s="15">
        <f t="array" ref="V33">INDEX(INDIRECT(INDEX($H$5,0) &amp; "!$C$17"),0)</f>
        <v>9</v>
      </c>
      <c r="W33" s="16">
        <f t="shared" si="31"/>
        <v>18</v>
      </c>
      <c r="Y33" s="9">
        <f t="array" ref="Y33">INDEX(INDIRECT(INDEX($H$5,0) &amp; "!$D$2"),0)</f>
        <v>0</v>
      </c>
      <c r="Z33" s="9">
        <f t="array" ref="Z33">INDEX(INDIRECT(INDEX($H$5,0) &amp; "!$D$3"),0)</f>
        <v>0.08333333333</v>
      </c>
      <c r="AA33" s="9">
        <f t="array" ref="AA33">INDEX(INDIRECT(INDEX($H$5,0) &amp; "!$D$4"),0)</f>
        <v>0.25</v>
      </c>
      <c r="AB33" s="9">
        <f t="array" ref="AB33">INDEX(INDIRECT(INDEX($H$5,0) &amp; "!$D$5"),0)</f>
        <v>0.1944444444</v>
      </c>
      <c r="AC33" s="9">
        <f t="array" ref="AC33">INDEX(INDIRECT(INDEX($H$5,0) &amp; "!$D$6"),0)</f>
        <v>0.4722222222</v>
      </c>
      <c r="AE33" s="3">
        <f t="array" ref="AE33">INDEX(INDIRECT(INDEX($H$5,0) &amp; "!$C$2"),0)</f>
        <v>0</v>
      </c>
      <c r="AF33" s="3">
        <f t="array" ref="AF33">INDEX(INDIRECT(INDEX($H$5,0) &amp; "!$C$3"),0)</f>
        <v>3</v>
      </c>
      <c r="AG33" s="3">
        <f t="array" ref="AG33">INDEX(INDIRECT(INDEX($H$5,0) &amp; "!$C$4"),0)</f>
        <v>9</v>
      </c>
      <c r="AH33" s="3">
        <f t="array" ref="AH33">INDEX(INDIRECT(INDEX($H$5,0) &amp; "!$C$5"),0)</f>
        <v>7</v>
      </c>
      <c r="AI33" s="3">
        <f t="array" ref="AI33">INDEX(INDIRECT(INDEX($H$5,0) &amp; "!$C$6"),0)</f>
        <v>17</v>
      </c>
      <c r="AJ33" s="17">
        <f t="shared" si="32"/>
        <v>36</v>
      </c>
      <c r="AK33" s="20"/>
      <c r="AL33" s="20"/>
      <c r="AM33" s="20"/>
      <c r="AN33" s="20"/>
      <c r="AO33" s="20"/>
    </row>
    <row r="34">
      <c r="A34" s="1" t="s">
        <v>27</v>
      </c>
      <c r="B34" s="9">
        <f t="shared" ref="B34:D34" si="33">IF(B6, 2*B6*B20/(B6+B20), "")</f>
        <v>0.6721504113</v>
      </c>
      <c r="C34" s="9">
        <f t="shared" si="33"/>
        <v>0.6719367589</v>
      </c>
      <c r="D34" s="9">
        <f t="shared" si="33"/>
        <v>0.7058823529</v>
      </c>
      <c r="E34" s="20"/>
      <c r="F34" s="20"/>
      <c r="G34" s="20"/>
      <c r="H34" s="20"/>
      <c r="I34" s="20"/>
      <c r="J34" s="9">
        <f t="array" ref="J34">INDEX(INDIRECT(INDEX($H$6,0) &amp; "!$D$14"),0)</f>
        <v>1</v>
      </c>
      <c r="K34" s="9">
        <f t="array" ref="K34">INDEX(INDIRECT(INDEX($H$6,0) &amp; "!$D$15"),0)</f>
        <v>1</v>
      </c>
      <c r="L34" s="9">
        <f t="array" ref="L34">INDEX(INDIRECT(INDEX($H$6,0) &amp; "!$D$16"),0)</f>
        <v>0.75</v>
      </c>
      <c r="M34" s="9">
        <f t="array" ref="M34">INDEX(INDIRECT(INDEX($H$6,0) &amp; "!$D$17"),0)</f>
        <v>0.375</v>
      </c>
      <c r="N34" s="13">
        <f t="array" ref="N34">SUM(J34:M34*S34:V34)/W34</f>
        <v>0.6666666667</v>
      </c>
      <c r="O34" s="14">
        <f t="array" ref="O34">SUM(J34:L34*S34:U34)/SUM(S34:U34)</f>
        <v>0.9</v>
      </c>
      <c r="P34" s="14">
        <f t="shared" si="30"/>
        <v>0.6428571429</v>
      </c>
      <c r="Q34" s="14">
        <f t="array" ref="Q34">SUM(J34:K34*S34:T34)/SUM(S34:T34)</f>
        <v>1</v>
      </c>
      <c r="S34" s="15">
        <f t="array" ref="S34">INDEX(INDIRECT(INDEX($H$6,0) &amp; "!$C$14"),0)</f>
        <v>3</v>
      </c>
      <c r="T34" s="15">
        <f t="array" ref="T34">INDEX(INDIRECT(INDEX($H$6,0) &amp; "!$C$15"),0)</f>
        <v>3</v>
      </c>
      <c r="U34" s="15">
        <f t="array" ref="U34">INDEX(INDIRECT(INDEX($H$6,0) &amp; "!$C$16"),0)</f>
        <v>4</v>
      </c>
      <c r="V34" s="15">
        <f t="array" ref="V34">INDEX(INDIRECT(INDEX($H$6,0) &amp; "!$C$17"),0)</f>
        <v>8</v>
      </c>
      <c r="W34" s="16">
        <f t="shared" si="31"/>
        <v>18</v>
      </c>
      <c r="Y34" s="9">
        <f t="array" ref="Y34">INDEX(INDIRECT(INDEX($H$6,0) &amp; "!$D$2"),0)</f>
        <v>0</v>
      </c>
      <c r="Z34" s="9">
        <f t="array" ref="Z34">INDEX(INDIRECT(INDEX($H$6,0) &amp; "!$D$3"),0)</f>
        <v>0.0625</v>
      </c>
      <c r="AA34" s="9">
        <f t="array" ref="AA34">INDEX(INDIRECT(INDEX($H$6,0) &amp; "!$D$4"),0)</f>
        <v>0.1875</v>
      </c>
      <c r="AB34" s="9">
        <f t="array" ref="AB34">INDEX(INDIRECT(INDEX($H$6,0) &amp; "!$D$5"),0)</f>
        <v>0.34375</v>
      </c>
      <c r="AC34" s="9">
        <f t="array" ref="AC34">INDEX(INDIRECT(INDEX($H$6,0) &amp; "!$D$6"),0)</f>
        <v>0.40625</v>
      </c>
      <c r="AE34" s="3">
        <f t="array" ref="AE34">INDEX(INDIRECT(INDEX($H$6,0) &amp; "!$C$2"),0)</f>
        <v>0</v>
      </c>
      <c r="AF34" s="3">
        <f t="array" ref="AF34">INDEX(INDIRECT(INDEX($H$6,0) &amp; "!$C$3"),0)</f>
        <v>2</v>
      </c>
      <c r="AG34" s="3">
        <f t="array" ref="AG34">INDEX(INDIRECT(INDEX($H$6,0) &amp; "!$C$4"),0)</f>
        <v>6</v>
      </c>
      <c r="AH34" s="3">
        <f t="array" ref="AH34">INDEX(INDIRECT(INDEX($H$6,0) &amp; "!$C$5"),0)</f>
        <v>11</v>
      </c>
      <c r="AI34" s="3">
        <f t="array" ref="AI34">INDEX(INDIRECT(INDEX($H$6,0) &amp; "!$C$6"),0)</f>
        <v>13</v>
      </c>
      <c r="AJ34" s="17">
        <f t="shared" si="32"/>
        <v>32</v>
      </c>
      <c r="AK34" s="20"/>
      <c r="AL34" s="20"/>
      <c r="AM34" s="20"/>
      <c r="AN34" s="20"/>
      <c r="AO34" s="20"/>
    </row>
    <row r="35">
      <c r="A35" s="1" t="s">
        <v>31</v>
      </c>
      <c r="B35" s="9">
        <f t="shared" ref="B35:D35" si="34">IF(B7, 2*B7*B21/(B7+B21), "")</f>
        <v>0.5012964564</v>
      </c>
      <c r="C35" s="9">
        <f t="shared" si="34"/>
        <v>0.5548854041</v>
      </c>
      <c r="D35" s="9">
        <f t="shared" si="34"/>
        <v>0.5405405405</v>
      </c>
      <c r="E35" s="20"/>
      <c r="F35" s="20"/>
      <c r="G35" s="20"/>
      <c r="H35" s="20"/>
      <c r="I35" s="20"/>
      <c r="J35" s="9">
        <f t="array" ref="J35">INDEX(INDIRECT(INDEX($H$7,0) &amp; "!$D$14"),0)</f>
        <v>1</v>
      </c>
      <c r="K35" s="9">
        <f t="array" ref="K35">INDEX(INDIRECT(INDEX($H$7,0) &amp; "!$D$15"),0)</f>
        <v>0.4285714286</v>
      </c>
      <c r="L35" s="9">
        <f t="array" ref="L35">INDEX(INDIRECT(INDEX($H$7,0) &amp; "!$D$16"),0)</f>
        <v>0.5</v>
      </c>
      <c r="M35" s="9">
        <f t="array" ref="M35">INDEX(INDIRECT(INDEX($H$7,0) &amp; "!$D$17"),0)</f>
        <v>0.2222222222</v>
      </c>
      <c r="N35" s="13">
        <f t="array" ref="N35">SUM(J35:M35*S35:V35)/W35</f>
        <v>0.4347826087</v>
      </c>
      <c r="O35" s="14">
        <f t="array" ref="O35">SUM(J35:L35*S35:U35)/SUM(S35:U35)</f>
        <v>0.5714285714</v>
      </c>
      <c r="P35" s="14">
        <f t="shared" si="30"/>
        <v>0.4210526316</v>
      </c>
      <c r="Q35" s="14">
        <f t="array" ref="Q35">SUM(J35:K35*S35:T35)/SUM(S35:T35)</f>
        <v>0.6</v>
      </c>
      <c r="S35" s="15">
        <f t="array" ref="S35">INDEX(INDIRECT(INDEX($H$7,0) &amp; "!$C$14"),0)</f>
        <v>3</v>
      </c>
      <c r="T35" s="15">
        <f t="array" ref="T35">INDEX(INDIRECT(INDEX($H$7,0) &amp; "!$C$15"),0)</f>
        <v>7</v>
      </c>
      <c r="U35" s="15">
        <f t="array" ref="U35">INDEX(INDIRECT(INDEX($H$7,0) &amp; "!$C$16"),0)</f>
        <v>4</v>
      </c>
      <c r="V35" s="15">
        <f t="array" ref="V35">INDEX(INDIRECT(INDEX($H$7,0) &amp; "!$C$17"),0)</f>
        <v>9</v>
      </c>
      <c r="W35" s="16">
        <f t="shared" si="31"/>
        <v>23</v>
      </c>
      <c r="Y35" s="9">
        <f t="array" ref="Y35">INDEX(INDIRECT(INDEX($H$7,0) &amp; "!$D$2"),0)</f>
        <v>0.1142857143</v>
      </c>
      <c r="Z35" s="9">
        <f t="array" ref="Z35">INDEX(INDIRECT(INDEX($H$7,0) &amp; "!$D$3"),0)</f>
        <v>0.02857142857</v>
      </c>
      <c r="AA35" s="9">
        <f t="array" ref="AA35">INDEX(INDIRECT(INDEX($H$7,0) &amp; "!$D$4"),0)</f>
        <v>0.1428571429</v>
      </c>
      <c r="AB35" s="9">
        <f t="array" ref="AB35">INDEX(INDIRECT(INDEX($H$7,0) &amp; "!$D$5"),0)</f>
        <v>0.2857142857</v>
      </c>
      <c r="AC35" s="9">
        <f t="array" ref="AC35">INDEX(INDIRECT(INDEX($H$7,0) &amp; "!$D$6"),0)</f>
        <v>0.4285714286</v>
      </c>
      <c r="AE35" s="3">
        <f t="array" ref="AE35">INDEX(INDIRECT(INDEX($H$7,0) &amp; "!$C$2"),0)</f>
        <v>4</v>
      </c>
      <c r="AF35" s="3">
        <f t="array" ref="AF35">INDEX(INDIRECT(INDEX($H$7,0) &amp; "!$C$3"),0)</f>
        <v>1</v>
      </c>
      <c r="AG35" s="3">
        <f t="array" ref="AG35">INDEX(INDIRECT(INDEX($H$7,0) &amp; "!$C$4"),0)</f>
        <v>5</v>
      </c>
      <c r="AH35" s="3">
        <f t="array" ref="AH35">INDEX(INDIRECT(INDEX($H$7,0) &amp; "!$C$5"),0)</f>
        <v>10</v>
      </c>
      <c r="AI35" s="3">
        <f t="array" ref="AI35">INDEX(INDIRECT(INDEX($H$7,0) &amp; "!$C$6"),0)</f>
        <v>15</v>
      </c>
      <c r="AJ35" s="17">
        <f t="shared" si="32"/>
        <v>35</v>
      </c>
      <c r="AK35" s="20"/>
      <c r="AL35" s="20"/>
      <c r="AM35" s="20"/>
      <c r="AN35" s="20"/>
      <c r="AO35" s="20"/>
    </row>
    <row r="36">
      <c r="A36" s="1" t="s">
        <v>35</v>
      </c>
      <c r="B36" s="9">
        <f t="shared" ref="B36:D36" si="35">IF(B8, 2*B8*B22/(B8+B22), "")</f>
        <v>0.4921875</v>
      </c>
      <c r="C36" s="9">
        <f t="shared" si="35"/>
        <v>0.2</v>
      </c>
      <c r="D36" s="9">
        <f t="shared" si="35"/>
        <v>0.6640625</v>
      </c>
      <c r="E36" s="20"/>
      <c r="F36" s="20"/>
      <c r="G36" s="20"/>
      <c r="H36" s="20"/>
      <c r="I36" s="20"/>
      <c r="J36" s="9">
        <f t="array" ref="J36">INDEX(INDIRECT(INDEX($H$8,0) &amp; "!$D$14"),0)</f>
        <v>1</v>
      </c>
      <c r="K36" s="9">
        <f t="array" ref="K36">INDEX(INDIRECT(INDEX($H$8,0) &amp; "!$D$15"),0)</f>
        <v>0</v>
      </c>
      <c r="L36" s="9">
        <f t="array" ref="L36">INDEX(INDIRECT(INDEX($H$8,0) &amp; "!$D$16"),0)</f>
        <v>0.5</v>
      </c>
      <c r="M36" s="9">
        <f t="array" ref="M36">INDEX(INDIRECT(INDEX($H$8,0) &amp; "!$D$17"),0)</f>
        <v>0.6</v>
      </c>
      <c r="N36" s="13">
        <f t="array" ref="N36">SUM(J36:M36*S36:V36)/W36</f>
        <v>0.625</v>
      </c>
      <c r="O36" s="14">
        <f t="array" ref="O36">SUM(J36:L36*S36:U36)/SUM(S36:U36)</f>
        <v>0.6666666667</v>
      </c>
      <c r="P36" s="14">
        <f t="shared" si="30"/>
        <v>0.6666666667</v>
      </c>
      <c r="Q36" s="14">
        <f t="array" ref="Q36">SUM(J36:K36*S36:T36)/SUM(S36:T36)</f>
        <v>1</v>
      </c>
      <c r="S36" s="15">
        <f t="array" ref="S36">INDEX(INDIRECT(INDEX($H$8,0) &amp; "!$C$14"),0)</f>
        <v>2</v>
      </c>
      <c r="T36" s="15">
        <f t="array" ref="T36">INDEX(INDIRECT(INDEX($H$8,0) &amp; "!$C$15"),0)</f>
        <v>0</v>
      </c>
      <c r="U36" s="15">
        <f t="array" ref="U36">INDEX(INDIRECT(INDEX($H$8,0) &amp; "!$C$16"),0)</f>
        <v>4</v>
      </c>
      <c r="V36" s="15">
        <f t="array" ref="V36">INDEX(INDIRECT(INDEX($H$8,0) &amp; "!$C$17"),0)</f>
        <v>10</v>
      </c>
      <c r="W36" s="16">
        <f t="shared" si="31"/>
        <v>16</v>
      </c>
      <c r="Y36" s="9">
        <f t="array" ref="Y36">INDEX(INDIRECT(INDEX($H$8,0) &amp; "!$D$2"),0)</f>
        <v>0.08333333333</v>
      </c>
      <c r="Z36" s="9">
        <f t="array" ref="Z36">INDEX(INDIRECT(INDEX($H$8,0) &amp; "!$D$3"),0)</f>
        <v>0.04166666667</v>
      </c>
      <c r="AA36" s="9">
        <f t="array" ref="AA36">INDEX(INDIRECT(INDEX($H$8,0) &amp; "!$D$4"),0)</f>
        <v>0.1666666667</v>
      </c>
      <c r="AB36" s="9">
        <f t="array" ref="AB36">INDEX(INDIRECT(INDEX($H$8,0) &amp; "!$D$5"),0)</f>
        <v>0.2916666667</v>
      </c>
      <c r="AC36" s="9">
        <f t="array" ref="AC36">INDEX(INDIRECT(INDEX($H$8,0) &amp; "!$D$6"),0)</f>
        <v>0.4166666667</v>
      </c>
      <c r="AE36" s="3">
        <f t="array" ref="AE36">INDEX(INDIRECT(INDEX($H$8,0) &amp; "!$C$2"),0)</f>
        <v>2</v>
      </c>
      <c r="AF36" s="3">
        <f t="array" ref="AF36">INDEX(INDIRECT(INDEX($H$8,0) &amp; "!$C$3"),0)</f>
        <v>1</v>
      </c>
      <c r="AG36" s="3">
        <f t="array" ref="AG36">INDEX(INDIRECT(INDEX($H$8,0) &amp; "!$C$4"),0)</f>
        <v>4</v>
      </c>
      <c r="AH36" s="3">
        <f t="array" ref="AH36">INDEX(INDIRECT(INDEX($H$8,0) &amp; "!$C$5"),0)</f>
        <v>7</v>
      </c>
      <c r="AI36" s="3">
        <f t="array" ref="AI36">INDEX(INDIRECT(INDEX($H$8,0) &amp; "!$C$6"),0)</f>
        <v>10</v>
      </c>
      <c r="AJ36" s="17">
        <f t="shared" si="32"/>
        <v>24</v>
      </c>
      <c r="AK36" s="20"/>
      <c r="AL36" s="20"/>
      <c r="AM36" s="20"/>
      <c r="AN36" s="20"/>
      <c r="AO36" s="20"/>
    </row>
    <row r="37">
      <c r="A37" s="1" t="s">
        <v>39</v>
      </c>
      <c r="B37" s="9">
        <f t="shared" ref="B37:D37" si="36">IF(B9, 2*B9*B23/(B9+B23), "")</f>
        <v>0.4931506849</v>
      </c>
      <c r="C37" s="9">
        <f t="shared" si="36"/>
        <v>0.5626477541</v>
      </c>
      <c r="D37" s="9">
        <f t="shared" si="36"/>
        <v>0.6355932203</v>
      </c>
      <c r="E37" s="20"/>
      <c r="F37" s="20"/>
      <c r="G37" s="20"/>
      <c r="H37" s="20"/>
      <c r="I37" s="20"/>
      <c r="J37" s="9">
        <f t="array" ref="J37">INDEX(INDIRECT(INDEX($H$9,0) &amp; "!$D$14"),0)</f>
        <v>1</v>
      </c>
      <c r="K37" s="9">
        <f t="array" ref="K37">INDEX(INDIRECT(INDEX($H$9,0) &amp; "!$D$15"),0)</f>
        <v>0.5</v>
      </c>
      <c r="L37" s="9">
        <f t="array" ref="L37">INDEX(INDIRECT(INDEX($H$9,0) &amp; "!$D$16"),0)</f>
        <v>0.5</v>
      </c>
      <c r="M37" s="9">
        <f t="array" ref="M37">INDEX(INDIRECT(INDEX($H$9,0) &amp; "!$D$17"),0)</f>
        <v>0.5714285714</v>
      </c>
      <c r="N37" s="13">
        <f t="array" ref="N37">SUM(J37:M37*S37:V37)/W37</f>
        <v>0.6</v>
      </c>
      <c r="O37" s="14">
        <f t="array" ref="O37">SUM(J37:L37*S37:U37)/SUM(S37:U37)</f>
        <v>0.625</v>
      </c>
      <c r="P37" s="14">
        <f t="shared" si="30"/>
        <v>0.6363636364</v>
      </c>
      <c r="Q37" s="14">
        <f t="array" ref="Q37">SUM(J37:K37*S37:T37)/SUM(S37:T37)</f>
        <v>0.75</v>
      </c>
      <c r="S37" s="15">
        <f t="array" ref="S37">INDEX(INDIRECT(INDEX($H$9,0) &amp; "!$C$14"),0)</f>
        <v>2</v>
      </c>
      <c r="T37" s="15">
        <f t="array" ref="T37">INDEX(INDIRECT(INDEX($H$9,0) &amp; "!$C$15"),0)</f>
        <v>2</v>
      </c>
      <c r="U37" s="15">
        <f t="array" ref="U37">INDEX(INDIRECT(INDEX($H$9,0) &amp; "!$C$16"),0)</f>
        <v>4</v>
      </c>
      <c r="V37" s="15">
        <f t="array" ref="V37">INDEX(INDIRECT(INDEX($H$9,0) &amp; "!$C$17"),0)</f>
        <v>7</v>
      </c>
      <c r="W37" s="16">
        <f t="shared" si="31"/>
        <v>15</v>
      </c>
      <c r="Y37" s="9">
        <f t="array" ref="Y37">INDEX(INDIRECT(INDEX($H$9,0) &amp; "!$D$2"),0)</f>
        <v>0.05405405405</v>
      </c>
      <c r="Z37" s="9">
        <f t="array" ref="Z37">INDEX(INDIRECT(INDEX($H$9,0) &amp; "!$D$3"),0)</f>
        <v>0.1081081081</v>
      </c>
      <c r="AA37" s="9">
        <f t="array" ref="AA37">INDEX(INDIRECT(INDEX($H$9,0) &amp; "!$D$4"),0)</f>
        <v>0.1621621622</v>
      </c>
      <c r="AB37" s="9">
        <f t="array" ref="AB37">INDEX(INDIRECT(INDEX($H$9,0) &amp; "!$D$5"),0)</f>
        <v>0.2432432432</v>
      </c>
      <c r="AC37" s="9">
        <f t="array" ref="AC37">INDEX(INDIRECT(INDEX($H$9,0) &amp; "!$D$6"),0)</f>
        <v>0.4324324324</v>
      </c>
      <c r="AE37" s="3">
        <f t="array" ref="AE37">INDEX(INDIRECT(INDEX($H$9,0) &amp; "!$C$2"),0)</f>
        <v>2</v>
      </c>
      <c r="AF37" s="3">
        <f t="array" ref="AF37">INDEX(INDIRECT(INDEX($H$9,0) &amp; "!$C$3"),0)</f>
        <v>4</v>
      </c>
      <c r="AG37" s="3">
        <f t="array" ref="AG37">INDEX(INDIRECT(INDEX($H$9,0) &amp; "!$C$4"),0)</f>
        <v>6</v>
      </c>
      <c r="AH37" s="3">
        <f t="array" ref="AH37">INDEX(INDIRECT(INDEX($H$9,0) &amp; "!$C$5"),0)</f>
        <v>9</v>
      </c>
      <c r="AI37" s="3">
        <f t="array" ref="AI37">INDEX(INDIRECT(INDEX($H$9,0) &amp; "!$C$6"),0)</f>
        <v>16</v>
      </c>
      <c r="AJ37" s="17">
        <f t="shared" si="32"/>
        <v>37</v>
      </c>
      <c r="AK37" s="20"/>
      <c r="AL37" s="20"/>
      <c r="AM37" s="20"/>
      <c r="AN37" s="20"/>
      <c r="AO37" s="20"/>
    </row>
    <row r="38">
      <c r="A38" s="1" t="s">
        <v>44</v>
      </c>
      <c r="B38" s="19">
        <f t="shared" ref="B38:D38" si="37">AVERAGE(B$32:B37)</f>
        <v>0.5504266922</v>
      </c>
      <c r="C38" s="19">
        <f t="shared" si="37"/>
        <v>0.5208978716</v>
      </c>
      <c r="D38" s="19">
        <f t="shared" si="37"/>
        <v>0.6288741484</v>
      </c>
      <c r="E38" s="32" t="s">
        <v>40</v>
      </c>
      <c r="F38" s="20"/>
      <c r="I38" s="18" t="s">
        <v>40</v>
      </c>
      <c r="J38" s="19">
        <f t="shared" ref="J38:Q38" si="38">AVERAGE(J32:J37)</f>
        <v>0.9444444444</v>
      </c>
      <c r="K38" s="19">
        <f t="shared" si="38"/>
        <v>0.4325396825</v>
      </c>
      <c r="L38" s="19">
        <f t="shared" si="38"/>
        <v>0.5</v>
      </c>
      <c r="M38" s="19">
        <f t="shared" si="38"/>
        <v>0.4707010582</v>
      </c>
      <c r="N38" s="42">
        <f t="shared" si="38"/>
        <v>0.5663129745</v>
      </c>
      <c r="O38" s="43">
        <f t="shared" si="38"/>
        <v>0.6345899471</v>
      </c>
      <c r="P38" s="19">
        <f t="shared" si="38"/>
        <v>0.5897281081</v>
      </c>
      <c r="Q38" s="43">
        <f t="shared" si="38"/>
        <v>0.7694444444</v>
      </c>
      <c r="S38" s="22">
        <f t="shared" ref="S38:V38" si="39">SUM(S32:S37)</f>
        <v>16</v>
      </c>
      <c r="T38" s="22">
        <f t="shared" si="39"/>
        <v>17</v>
      </c>
      <c r="U38" s="22">
        <f t="shared" si="39"/>
        <v>24</v>
      </c>
      <c r="V38" s="22">
        <f t="shared" si="39"/>
        <v>47</v>
      </c>
      <c r="W38" s="23">
        <f t="shared" si="31"/>
        <v>104</v>
      </c>
      <c r="Y38" s="19">
        <f t="shared" ref="Y38:AC38" si="40">AVERAGE(Y32:Y37)</f>
        <v>0.04621902122</v>
      </c>
      <c r="Z38" s="19">
        <f t="shared" si="40"/>
        <v>0.0668504356</v>
      </c>
      <c r="AA38" s="19">
        <f t="shared" si="40"/>
        <v>0.1728985166</v>
      </c>
      <c r="AB38" s="19">
        <f t="shared" si="40"/>
        <v>0.2606578075</v>
      </c>
      <c r="AC38" s="19">
        <f t="shared" si="40"/>
        <v>0.453374219</v>
      </c>
      <c r="AD38" s="24">
        <f t="shared" ref="AD38:AD39" si="43">SUM(Y38:AC38)</f>
        <v>1</v>
      </c>
      <c r="AE38" s="25">
        <f t="shared" ref="AE38:AI38" si="41">SUM(AE32:AE37)</f>
        <v>9</v>
      </c>
      <c r="AF38" s="25">
        <f t="shared" si="41"/>
        <v>14</v>
      </c>
      <c r="AG38" s="25">
        <f t="shared" si="41"/>
        <v>35</v>
      </c>
      <c r="AH38" s="25">
        <f t="shared" si="41"/>
        <v>52</v>
      </c>
      <c r="AI38" s="25">
        <f t="shared" si="41"/>
        <v>93</v>
      </c>
      <c r="AJ38" s="26">
        <f t="shared" si="32"/>
        <v>203</v>
      </c>
    </row>
    <row r="39">
      <c r="A39" s="1" t="s">
        <v>45</v>
      </c>
      <c r="B39" s="9"/>
      <c r="C39" s="9"/>
      <c r="D39" s="9"/>
      <c r="E39" s="20"/>
      <c r="F39" s="20"/>
      <c r="J39" s="14">
        <f t="array" ref="J39">SUM(J32:J37*S32:S37)/S38</f>
        <v>0.9375</v>
      </c>
      <c r="K39" s="14">
        <f t="array" ref="K39">SUM(K32:K37*T32:T37)/T38</f>
        <v>0.5294117647</v>
      </c>
      <c r="L39" s="14">
        <f t="array" ref="L39">SUM(L32:L37*U32:U37)/U38</f>
        <v>0.5</v>
      </c>
      <c r="M39" s="14">
        <f t="array" ref="M39">SUM(M32:M37*V32:V37)/V38</f>
        <v>0.4680851064</v>
      </c>
      <c r="N39" s="44">
        <f t="array" ref="N39">SUM(N32:N37*W32:W37)/W38</f>
        <v>0.5576923077</v>
      </c>
      <c r="O39" s="14">
        <f t="array" ref="O39">SUM(O32:O37*W32:W37-V32:V37)/SUM(S38:U38)</f>
        <v>0.6315789474</v>
      </c>
      <c r="P39" s="14">
        <f t="array" ref="P39">SUM(P32:P37*W32:W37-U32:U37)/(SUM(S38:V38)-U38)</f>
        <v>0.575</v>
      </c>
      <c r="Q39" s="14">
        <f t="array" ref="Q39">SUM(Q32:Q37*S32:S37+T32:T37)/SUM(S38:T38)</f>
        <v>0.7272727273</v>
      </c>
      <c r="Y39" s="14">
        <f t="shared" ref="Y39:AC39" si="42">AE38/$AJ38</f>
        <v>0.04433497537</v>
      </c>
      <c r="Z39" s="14">
        <f t="shared" si="42"/>
        <v>0.06896551724</v>
      </c>
      <c r="AA39" s="14">
        <f t="shared" si="42"/>
        <v>0.1724137931</v>
      </c>
      <c r="AB39" s="14">
        <f t="shared" si="42"/>
        <v>0.2561576355</v>
      </c>
      <c r="AC39" s="14">
        <f t="shared" si="42"/>
        <v>0.4581280788</v>
      </c>
      <c r="AD39" s="24">
        <f t="shared" si="43"/>
        <v>1</v>
      </c>
    </row>
    <row r="40">
      <c r="B40" s="4" t="s">
        <v>46</v>
      </c>
      <c r="C40" s="9">
        <f>C38-B38</f>
        <v>-0.02952882053</v>
      </c>
      <c r="D40" s="9">
        <f>D38-B38</f>
        <v>0.0784474562</v>
      </c>
      <c r="E40" s="20"/>
      <c r="F40" s="20"/>
      <c r="I40" s="1" t="s">
        <v>49</v>
      </c>
      <c r="J40" s="31" t="s">
        <v>55</v>
      </c>
      <c r="K40" s="30">
        <f>TTEST(K$4:K$9, K32:K37, 1, 1)</f>
        <v>0.4045042477</v>
      </c>
      <c r="L40" s="31">
        <v>0.233</v>
      </c>
      <c r="M40" s="30">
        <f t="shared" ref="M40:Q40" si="44">TTEST(M$4:M$9, M32:M37, 1, 1)</f>
        <v>0.1033925797</v>
      </c>
      <c r="N40" s="39">
        <f t="shared" si="44"/>
        <v>0.3354681097</v>
      </c>
      <c r="O40" s="30">
        <f t="shared" si="44"/>
        <v>0.1677595393</v>
      </c>
      <c r="P40" s="30">
        <f t="shared" si="44"/>
        <v>0.04218826832</v>
      </c>
      <c r="Q40" s="30">
        <f t="shared" si="44"/>
        <v>0.5</v>
      </c>
      <c r="X40" s="1" t="s">
        <v>49</v>
      </c>
      <c r="Y40" s="30">
        <f t="shared" ref="Y40:AC40" si="45">TTEST(Y32:Y37, Y$4:Y$9, 1, 1)</f>
        <v>0.2735954013</v>
      </c>
      <c r="Z40" s="30">
        <f t="shared" si="45"/>
        <v>0.002026233967</v>
      </c>
      <c r="AA40" s="30">
        <f t="shared" si="45"/>
        <v>0.1194156582</v>
      </c>
      <c r="AB40" s="30">
        <f t="shared" si="45"/>
        <v>0.1517904997</v>
      </c>
      <c r="AC40" s="30">
        <f t="shared" si="45"/>
        <v>0.001696314666</v>
      </c>
      <c r="AD40" s="14">
        <f>Y39+AB39+AC39</f>
        <v>0.7586206897</v>
      </c>
      <c r="AE40" s="1" t="s">
        <v>47</v>
      </c>
    </row>
    <row r="41">
      <c r="B41" s="29" t="s">
        <v>49</v>
      </c>
      <c r="C41" s="31">
        <v>1.0</v>
      </c>
      <c r="D41" s="31">
        <v>0.031</v>
      </c>
      <c r="E41" s="20"/>
      <c r="F41" s="20"/>
      <c r="I41" s="4" t="s">
        <v>52</v>
      </c>
      <c r="J41" s="4" t="b">
        <v>0</v>
      </c>
      <c r="K41" s="4" t="b">
        <v>1</v>
      </c>
      <c r="L41" s="4" t="b">
        <v>0</v>
      </c>
      <c r="M41" s="4" t="b">
        <v>1</v>
      </c>
      <c r="N41" s="45"/>
      <c r="O41" s="32" t="s">
        <v>40</v>
      </c>
      <c r="P41" s="45"/>
      <c r="Q41" s="45"/>
      <c r="X41" s="1" t="s">
        <v>53</v>
      </c>
      <c r="Y41" s="40" t="b">
        <v>1</v>
      </c>
      <c r="Z41" s="40" t="b">
        <v>1</v>
      </c>
      <c r="AA41" s="40" t="b">
        <v>1</v>
      </c>
      <c r="AB41" s="40" t="b">
        <v>1</v>
      </c>
      <c r="AC41" s="40" t="b">
        <v>1</v>
      </c>
      <c r="AD41" s="14">
        <f>AB39+AC39</f>
        <v>0.7142857143</v>
      </c>
      <c r="AE41" s="1" t="s">
        <v>18</v>
      </c>
    </row>
    <row r="42">
      <c r="A42" s="1" t="s">
        <v>51</v>
      </c>
      <c r="B42" s="33">
        <f t="shared" ref="B42:D42" si="46">STDEV(B32:B37)</f>
        <v>0.07456108973</v>
      </c>
      <c r="C42" s="33">
        <f t="shared" si="46"/>
        <v>0.1632842061</v>
      </c>
      <c r="D42" s="33">
        <f t="shared" si="46"/>
        <v>0.0617059168</v>
      </c>
      <c r="E42" s="20"/>
      <c r="F42" s="20"/>
      <c r="J42" s="45"/>
      <c r="K42" s="45"/>
      <c r="L42" s="45"/>
      <c r="M42" s="18"/>
      <c r="N42" s="45"/>
      <c r="O42" s="45"/>
      <c r="P42" s="45"/>
      <c r="Q42" s="45"/>
      <c r="Y42" s="46"/>
      <c r="Z42" s="47"/>
      <c r="AA42" s="47"/>
    </row>
    <row r="43">
      <c r="B43" s="4" t="s">
        <v>52</v>
      </c>
      <c r="C43" s="4" t="b">
        <v>0</v>
      </c>
      <c r="D43" s="4" t="b">
        <v>0</v>
      </c>
      <c r="J43" s="45"/>
      <c r="K43" s="45"/>
      <c r="L43" s="45"/>
      <c r="M43" s="45"/>
      <c r="N43" s="45"/>
      <c r="O43" s="45"/>
      <c r="P43" s="45"/>
      <c r="Q43" s="45"/>
      <c r="Y43" s="46"/>
      <c r="Z43" s="47"/>
      <c r="AA43" s="47"/>
    </row>
    <row r="44">
      <c r="A44" s="1"/>
      <c r="B44" s="4" t="s">
        <v>56</v>
      </c>
      <c r="F44" s="1"/>
      <c r="G44" s="4" t="s">
        <v>57</v>
      </c>
      <c r="Y44" s="46"/>
      <c r="Z44" s="47"/>
      <c r="AA44" s="47"/>
    </row>
    <row r="45">
      <c r="A45" s="1" t="s">
        <v>19</v>
      </c>
      <c r="B45" s="15">
        <f t="array" ref="B45">INDEX(INDIRECT(INDEX($F$4,0) &amp; "!$C$7"),0)</f>
        <v>29</v>
      </c>
      <c r="C45" s="15">
        <f t="array" ref="C45">INDEX(INDIRECT(INDEX($G$4,0) &amp; "!$C$7"),0)</f>
        <v>19</v>
      </c>
      <c r="D45" s="15">
        <f t="array" ref="D45">INDEX(INDIRECT(INDEX($H$4,0) &amp; "!$C$7"),0)</f>
        <v>39</v>
      </c>
      <c r="F45" s="1" t="s">
        <v>19</v>
      </c>
      <c r="G45" s="48">
        <f t="shared" ref="G45:I45" si="47">INDEX(INDIRECT(INDEX(F4,0) &amp; "!$C$7"),0) * B4</f>
        <v>19</v>
      </c>
      <c r="H45" s="48">
        <f t="shared" si="47"/>
        <v>13</v>
      </c>
      <c r="I45" s="48">
        <f t="shared" si="47"/>
        <v>30</v>
      </c>
      <c r="Y45" s="46"/>
      <c r="Z45" s="47"/>
      <c r="AA45" s="47"/>
    </row>
    <row r="46">
      <c r="A46" s="1" t="s">
        <v>23</v>
      </c>
      <c r="B46" s="15">
        <f t="array" ref="B46">INDEX(INDIRECT(INDEX($F$5,0) &amp; "!$C$7"),0)</f>
        <v>39</v>
      </c>
      <c r="C46" s="15">
        <f t="array" ref="C46">INDEX(INDIRECT(INDEX($G$5,0) &amp; "!$C$7"),0)</f>
        <v>24</v>
      </c>
      <c r="D46" s="15">
        <f t="array" ref="D46">INDEX(INDIRECT(INDEX($H$5,0) &amp; "!$C$7"),0)</f>
        <v>36</v>
      </c>
      <c r="F46" s="1" t="s">
        <v>23</v>
      </c>
      <c r="G46" s="48">
        <f t="shared" ref="G46:I46" si="48">INDEX(INDIRECT(INDEX(F5,0) &amp; "!$C$7"),0) * B5</f>
        <v>20</v>
      </c>
      <c r="H46" s="48">
        <f t="shared" si="48"/>
        <v>18</v>
      </c>
      <c r="I46" s="48">
        <f t="shared" si="48"/>
        <v>24</v>
      </c>
      <c r="Y46" s="46"/>
      <c r="Z46" s="47"/>
      <c r="AA46" s="47"/>
    </row>
    <row r="47">
      <c r="A47" s="1" t="s">
        <v>27</v>
      </c>
      <c r="B47" s="15">
        <f t="array" ref="B47">INDEX(INDIRECT(INDEX($F$6,0) &amp; "!$C$7"),0)</f>
        <v>35</v>
      </c>
      <c r="C47" s="15">
        <f t="array" ref="C47">INDEX(INDIRECT(INDEX($G$6,0) &amp; "!$C$7"),0)</f>
        <v>20</v>
      </c>
      <c r="D47" s="15">
        <f t="array" ref="D47">INDEX(INDIRECT(INDEX($H$6,0) &amp; "!$C$7"),0)</f>
        <v>32</v>
      </c>
      <c r="F47" s="1" t="s">
        <v>27</v>
      </c>
      <c r="G47" s="48">
        <f t="shared" ref="G47:I47" si="49">INDEX(INDIRECT(INDEX(F6,0) &amp; "!$C$7"),0) * B6</f>
        <v>22</v>
      </c>
      <c r="H47" s="48">
        <f t="shared" si="49"/>
        <v>17</v>
      </c>
      <c r="I47" s="48">
        <f t="shared" si="49"/>
        <v>24</v>
      </c>
      <c r="Y47" s="46"/>
      <c r="Z47" s="47"/>
      <c r="AA47" s="47"/>
    </row>
    <row r="48">
      <c r="A48" s="1" t="s">
        <v>31</v>
      </c>
      <c r="B48" s="15">
        <f t="array" ref="B48">INDEX(INDIRECT(INDEX($F$7,0) &amp; "!$C$7"),0)</f>
        <v>49</v>
      </c>
      <c r="C48" s="15">
        <f t="array" ref="C48">INDEX(INDIRECT(INDEX($G$7,0) &amp; "!$C$7"),0)</f>
        <v>30</v>
      </c>
      <c r="D48" s="15">
        <f t="array" ref="D48">INDEX(INDIRECT(INDEX($H$7,0) &amp; "!$C$7"),0)</f>
        <v>35</v>
      </c>
      <c r="F48" s="1" t="s">
        <v>31</v>
      </c>
      <c r="G48" s="48">
        <f t="shared" ref="G48:I48" si="50">INDEX(INDIRECT(INDEX(F7,0) &amp; "!$C$7"),0) * B7</f>
        <v>29</v>
      </c>
      <c r="H48" s="48">
        <f t="shared" si="50"/>
        <v>23</v>
      </c>
      <c r="I48" s="48">
        <f t="shared" si="50"/>
        <v>25</v>
      </c>
      <c r="Y48" s="46"/>
      <c r="Z48" s="47"/>
      <c r="AA48" s="47"/>
    </row>
    <row r="49">
      <c r="A49" s="1" t="s">
        <v>35</v>
      </c>
      <c r="B49" s="15">
        <f t="array" ref="B49">INDEX(INDIRECT(INDEX($F$8,0) &amp; "!$C$7"),0)</f>
        <v>32</v>
      </c>
      <c r="C49" s="15">
        <f t="array" ref="C49">INDEX(INDIRECT(INDEX($G$8,0) &amp; "!$C$7"),0)</f>
        <v>20</v>
      </c>
      <c r="D49" s="15">
        <f t="array" ref="D49">INDEX(INDIRECT(INDEX($H$8,0) &amp; "!$C$7"),0)</f>
        <v>24</v>
      </c>
      <c r="F49" s="1" t="s">
        <v>35</v>
      </c>
      <c r="G49" s="48">
        <f t="shared" ref="G49:I49" si="51">INDEX(INDIRECT(INDEX(F8,0) &amp; "!$C$7"),0) * B8</f>
        <v>14</v>
      </c>
      <c r="H49" s="48">
        <f t="shared" si="51"/>
        <v>10</v>
      </c>
      <c r="I49" s="48">
        <f t="shared" si="51"/>
        <v>17</v>
      </c>
      <c r="Y49" s="46"/>
      <c r="Z49" s="47"/>
      <c r="AA49" s="47"/>
    </row>
    <row r="50">
      <c r="A50" s="1" t="s">
        <v>39</v>
      </c>
      <c r="B50" s="15">
        <f t="array" ref="B50">INDEX(INDIRECT(INDEX($F$9,0) &amp; "!$C$7"),0)</f>
        <v>43</v>
      </c>
      <c r="C50" s="15">
        <f t="array" ref="C50">INDEX(INDIRECT(INDEX($G$9,0) &amp; "!$C$7"),0)</f>
        <v>24</v>
      </c>
      <c r="D50" s="15">
        <f t="array" ref="D50">INDEX(INDIRECT(INDEX($H$9,0) &amp; "!$C$7"),0)</f>
        <v>37</v>
      </c>
      <c r="F50" s="1" t="s">
        <v>39</v>
      </c>
      <c r="G50" s="48">
        <f t="shared" ref="G50:I50" si="52">INDEX(INDIRECT(INDEX(F9,0) &amp; "!$C$7"),0) * B9</f>
        <v>18</v>
      </c>
      <c r="H50" s="48">
        <f t="shared" si="52"/>
        <v>17</v>
      </c>
      <c r="I50" s="48">
        <f t="shared" si="52"/>
        <v>25</v>
      </c>
      <c r="Y50" s="46"/>
      <c r="Z50" s="47"/>
      <c r="AA50" s="47"/>
    </row>
    <row r="51">
      <c r="A51" s="1" t="s">
        <v>44</v>
      </c>
      <c r="B51" s="49">
        <f t="shared" ref="B51:D51" si="53">AVERAGE(B$45:B$50)</f>
        <v>37.83333333</v>
      </c>
      <c r="C51" s="49">
        <f t="shared" si="53"/>
        <v>22.83333333</v>
      </c>
      <c r="D51" s="49">
        <f t="shared" si="53"/>
        <v>33.83333333</v>
      </c>
      <c r="F51" s="1" t="s">
        <v>44</v>
      </c>
      <c r="G51" s="49">
        <f t="shared" ref="G51:I51" si="54">AVERAGE(G$45:G$50)</f>
        <v>20.33333333</v>
      </c>
      <c r="H51" s="49">
        <f t="shared" si="54"/>
        <v>16.33333333</v>
      </c>
      <c r="I51" s="49">
        <f t="shared" si="54"/>
        <v>24.16666667</v>
      </c>
      <c r="J51" s="18" t="s">
        <v>40</v>
      </c>
      <c r="Y51" s="46"/>
      <c r="Z51" s="47"/>
      <c r="AA51" s="47"/>
    </row>
    <row r="52">
      <c r="A52" s="1"/>
      <c r="B52" s="4" t="s">
        <v>46</v>
      </c>
      <c r="C52" s="50">
        <f>C51-B51</f>
        <v>-15</v>
      </c>
      <c r="D52" s="50">
        <f>D51-B51</f>
        <v>-4</v>
      </c>
      <c r="F52" s="1"/>
      <c r="G52" s="4" t="s">
        <v>46</v>
      </c>
      <c r="H52" s="50">
        <f>H51-G51</f>
        <v>-4</v>
      </c>
      <c r="I52" s="50">
        <f>I51-G51</f>
        <v>3.833333333</v>
      </c>
      <c r="Y52" s="46"/>
      <c r="Z52" s="47"/>
      <c r="AA52" s="47"/>
    </row>
    <row r="53">
      <c r="B53" s="29" t="s">
        <v>58</v>
      </c>
      <c r="C53" s="9">
        <f t="shared" ref="C53:D53" si="55">(C$51-$B$51)/$B$51</f>
        <v>-0.3964757709</v>
      </c>
      <c r="D53" s="9">
        <f t="shared" si="55"/>
        <v>-0.1057268722</v>
      </c>
      <c r="G53" s="29" t="s">
        <v>58</v>
      </c>
      <c r="H53" s="9">
        <f t="shared" ref="H53:I53" si="56">(H$51-$B$51)/$B$51</f>
        <v>-0.5682819383</v>
      </c>
      <c r="I53" s="9">
        <f t="shared" si="56"/>
        <v>-0.3612334802</v>
      </c>
      <c r="Y53" s="46"/>
      <c r="Z53" s="47"/>
      <c r="AA53" s="47"/>
    </row>
    <row r="54">
      <c r="B54" s="29" t="s">
        <v>49</v>
      </c>
      <c r="C54" s="30">
        <f>TTEST(B$45:B$50, C$45:C$50, 1, 1)</f>
        <v>0.00008098790974</v>
      </c>
      <c r="D54" s="30">
        <f>TTEST(B$45:B$50, D$45:D$50, 1, 1)</f>
        <v>0.1369468914</v>
      </c>
      <c r="G54" s="29" t="s">
        <v>49</v>
      </c>
      <c r="H54" s="30">
        <f>TTEST(G$45:G$50, H$45:H$50, 1, 1)</f>
        <v>0.002738844727</v>
      </c>
      <c r="I54" s="30">
        <f>TTEST(G$45:G$50, I$45:I$50, 1, 1)</f>
        <v>0.06064774424</v>
      </c>
      <c r="Y54" s="46"/>
      <c r="Z54" s="47"/>
      <c r="AA54" s="47"/>
    </row>
    <row r="55">
      <c r="A55" s="1" t="s">
        <v>51</v>
      </c>
      <c r="B55" s="51">
        <f t="shared" ref="B55:D55" si="57">STDEV(B45:B50)</f>
        <v>7.386925387</v>
      </c>
      <c r="C55" s="51">
        <f t="shared" si="57"/>
        <v>4.119061382</v>
      </c>
      <c r="D55" s="51">
        <f t="shared" si="57"/>
        <v>5.344779384</v>
      </c>
      <c r="F55" s="1"/>
      <c r="G55" s="4" t="s">
        <v>52</v>
      </c>
      <c r="H55" s="4" t="b">
        <v>1</v>
      </c>
      <c r="I55" s="4" t="b">
        <v>1</v>
      </c>
      <c r="Y55" s="46"/>
      <c r="Z55" s="47"/>
      <c r="AA55" s="47"/>
    </row>
    <row r="56">
      <c r="B56" s="4" t="s">
        <v>52</v>
      </c>
      <c r="C56" s="4" t="b">
        <v>1</v>
      </c>
      <c r="D56" s="4" t="b">
        <v>1</v>
      </c>
      <c r="Y56" s="46"/>
      <c r="Z56" s="47"/>
      <c r="AA56" s="47"/>
    </row>
    <row r="57">
      <c r="Y57" s="46"/>
      <c r="Z57" s="47"/>
      <c r="AA57" s="47"/>
    </row>
    <row r="58">
      <c r="Y58" s="46"/>
      <c r="Z58" s="47"/>
      <c r="AA58" s="47"/>
    </row>
    <row r="59">
      <c r="A59" s="1" t="s">
        <v>59</v>
      </c>
      <c r="B59" s="1" t="s">
        <v>60</v>
      </c>
      <c r="C59" s="1" t="s">
        <v>61</v>
      </c>
      <c r="D59" s="1" t="s">
        <v>62</v>
      </c>
      <c r="E59" s="1" t="s">
        <v>63</v>
      </c>
      <c r="F59" s="1" t="s">
        <v>64</v>
      </c>
      <c r="G59" s="1" t="s">
        <v>18</v>
      </c>
      <c r="H59" s="1" t="s">
        <v>9</v>
      </c>
      <c r="Y59" s="46"/>
      <c r="Z59" s="47"/>
      <c r="AA59" s="47"/>
    </row>
    <row r="60">
      <c r="B60" s="1" t="s">
        <v>65</v>
      </c>
      <c r="C60" s="40">
        <v>5.0</v>
      </c>
      <c r="D60" s="40">
        <v>2.0</v>
      </c>
      <c r="E60" s="40">
        <v>1.0</v>
      </c>
      <c r="F60" s="41">
        <f t="shared" ref="F60:F62" si="58">SUM(C60:E60)</f>
        <v>8</v>
      </c>
      <c r="G60" s="40">
        <v>0.71</v>
      </c>
      <c r="H60" s="40">
        <v>0.83</v>
      </c>
      <c r="Y60" s="46"/>
      <c r="Z60" s="47"/>
      <c r="AA60" s="47"/>
    </row>
    <row r="61">
      <c r="B61" s="1" t="s">
        <v>66</v>
      </c>
      <c r="C61" s="40">
        <v>10.0</v>
      </c>
      <c r="D61" s="40">
        <v>90.0</v>
      </c>
      <c r="E61" s="40">
        <v>7.0</v>
      </c>
      <c r="F61" s="41">
        <f t="shared" si="58"/>
        <v>107</v>
      </c>
      <c r="G61" s="40">
        <v>0.1</v>
      </c>
      <c r="H61" s="40">
        <v>0.58</v>
      </c>
      <c r="Y61" s="46"/>
      <c r="Z61" s="47"/>
      <c r="AA61" s="47"/>
    </row>
    <row r="62">
      <c r="B62" s="1" t="s">
        <v>67</v>
      </c>
      <c r="C62" s="40">
        <v>15.0</v>
      </c>
      <c r="D62" s="40">
        <v>11.0</v>
      </c>
      <c r="E62" s="40">
        <v>2.0</v>
      </c>
      <c r="F62" s="41">
        <f t="shared" si="58"/>
        <v>28</v>
      </c>
      <c r="G62" s="40">
        <v>0.57</v>
      </c>
      <c r="H62" s="40">
        <v>0.88</v>
      </c>
      <c r="Y62" s="46"/>
      <c r="Z62" s="47"/>
      <c r="AA62" s="47"/>
    </row>
    <row r="63">
      <c r="Y63" s="46"/>
      <c r="Z63" s="47"/>
      <c r="AA63" s="47"/>
    </row>
    <row r="64">
      <c r="F64" s="1" t="s">
        <v>68</v>
      </c>
      <c r="G64" s="14">
        <f>IFERROR(__xludf.DUMMYFUNCTION("AVERAGE.WEIGHTED(G60:G62,F60:F62)"),0.22615384615384615)</f>
        <v>0.2261538462</v>
      </c>
      <c r="H64" s="14">
        <f>IFERROR(__xludf.DUMMYFUNCTION("AVERAGE.WEIGHTED(H60:H62,F60:F62)"),0.6527272727272727)</f>
        <v>0.6527272727</v>
      </c>
      <c r="I64" s="18" t="s">
        <v>40</v>
      </c>
      <c r="Y64" s="46"/>
      <c r="Z64" s="47"/>
      <c r="AA64" s="47"/>
    </row>
    <row r="65">
      <c r="F65" s="1" t="s">
        <v>69</v>
      </c>
      <c r="G65" s="14">
        <f>SUM(C60:C62)/(SUM(C60:C62)+SUM(D60:D62))</f>
        <v>0.2255639098</v>
      </c>
      <c r="H65" s="14">
        <f>SUM(C60:C62)/(SUM(C60:C62)+SUM(E60:E62))</f>
        <v>0.75</v>
      </c>
      <c r="Y65" s="46"/>
      <c r="Z65" s="47"/>
      <c r="AA65" s="47"/>
    </row>
    <row r="66">
      <c r="Y66" s="46"/>
      <c r="Z66" s="47"/>
      <c r="AA66" s="47"/>
    </row>
    <row r="67">
      <c r="Y67" s="46"/>
      <c r="Z67" s="47"/>
      <c r="AA67" s="47"/>
    </row>
    <row r="68">
      <c r="Y68" s="46"/>
      <c r="Z68" s="47"/>
      <c r="AA68" s="47"/>
    </row>
    <row r="69">
      <c r="Y69" s="46"/>
      <c r="Z69" s="47"/>
      <c r="AA69" s="47"/>
    </row>
    <row r="70">
      <c r="Y70" s="46"/>
      <c r="Z70" s="47"/>
      <c r="AA70" s="47"/>
    </row>
    <row r="71">
      <c r="Y71" s="46"/>
      <c r="Z71" s="47"/>
      <c r="AA71" s="47"/>
    </row>
    <row r="72">
      <c r="Y72" s="46"/>
      <c r="Z72" s="47"/>
      <c r="AA72" s="47"/>
    </row>
    <row r="73">
      <c r="Y73" s="46"/>
      <c r="Z73" s="47"/>
      <c r="AA73" s="47"/>
    </row>
    <row r="74">
      <c r="Y74" s="46"/>
      <c r="Z74" s="47"/>
      <c r="AA74" s="47"/>
    </row>
    <row r="75">
      <c r="Y75" s="46"/>
      <c r="Z75" s="47"/>
      <c r="AA75" s="47"/>
    </row>
    <row r="76">
      <c r="Y76" s="46"/>
      <c r="Z76" s="47"/>
      <c r="AA76" s="47"/>
    </row>
    <row r="77">
      <c r="Y77" s="46"/>
      <c r="Z77" s="47"/>
      <c r="AA77" s="47"/>
    </row>
    <row r="78">
      <c r="Y78" s="46"/>
      <c r="Z78" s="47"/>
      <c r="AA78" s="47"/>
    </row>
    <row r="79">
      <c r="Y79" s="46"/>
      <c r="Z79" s="47"/>
      <c r="AA79" s="47"/>
    </row>
    <row r="80">
      <c r="Y80" s="46"/>
      <c r="Z80" s="47"/>
      <c r="AA80" s="47"/>
    </row>
    <row r="81">
      <c r="Y81" s="46"/>
      <c r="Z81" s="47"/>
      <c r="AA81" s="47"/>
    </row>
    <row r="82">
      <c r="Y82" s="46"/>
      <c r="Z82" s="47"/>
      <c r="AA82" s="47"/>
    </row>
    <row r="83">
      <c r="Y83" s="46"/>
      <c r="Z83" s="47"/>
      <c r="AA83" s="47"/>
    </row>
    <row r="84">
      <c r="Y84" s="46"/>
      <c r="Z84" s="47"/>
      <c r="AA84" s="47"/>
    </row>
    <row r="85">
      <c r="Y85" s="46"/>
      <c r="Z85" s="47"/>
      <c r="AA85" s="47"/>
    </row>
    <row r="86">
      <c r="Y86" s="46"/>
      <c r="Z86" s="47"/>
      <c r="AA86" s="47"/>
    </row>
    <row r="87">
      <c r="Y87" s="46"/>
      <c r="Z87" s="47"/>
      <c r="AA87" s="47"/>
    </row>
    <row r="88">
      <c r="Y88" s="46"/>
      <c r="Z88" s="47"/>
      <c r="AA88" s="47"/>
    </row>
    <row r="89">
      <c r="Y89" s="46"/>
      <c r="Z89" s="47"/>
      <c r="AA89" s="47"/>
    </row>
    <row r="90">
      <c r="Y90" s="46"/>
      <c r="Z90" s="47"/>
      <c r="AA90" s="47"/>
    </row>
    <row r="91">
      <c r="Y91" s="46"/>
      <c r="Z91" s="47"/>
      <c r="AA91" s="47"/>
    </row>
    <row r="92">
      <c r="Y92" s="46"/>
      <c r="Z92" s="47"/>
      <c r="AA92" s="47"/>
    </row>
    <row r="93">
      <c r="Y93" s="46"/>
      <c r="Z93" s="47"/>
      <c r="AA93" s="47"/>
    </row>
    <row r="94">
      <c r="Y94" s="46"/>
      <c r="Z94" s="47"/>
      <c r="AA94" s="47"/>
    </row>
    <row r="95">
      <c r="Y95" s="46"/>
      <c r="Z95" s="47"/>
      <c r="AA95" s="47"/>
    </row>
    <row r="96">
      <c r="Y96" s="46"/>
      <c r="Z96" s="47"/>
      <c r="AA96" s="47"/>
    </row>
    <row r="97">
      <c r="Y97" s="46"/>
      <c r="Z97" s="47"/>
      <c r="AA97" s="47"/>
    </row>
    <row r="98">
      <c r="Y98" s="46"/>
      <c r="Z98" s="47"/>
      <c r="AA98" s="47"/>
    </row>
    <row r="99">
      <c r="Y99" s="46"/>
      <c r="Z99" s="47"/>
      <c r="AA99" s="47"/>
    </row>
    <row r="100">
      <c r="Y100" s="46"/>
      <c r="Z100" s="47"/>
      <c r="AA100" s="47"/>
    </row>
    <row r="101">
      <c r="Y101" s="46"/>
      <c r="Z101" s="47"/>
      <c r="AA101" s="47"/>
    </row>
    <row r="102">
      <c r="Y102" s="46"/>
      <c r="Z102" s="47"/>
      <c r="AA102" s="47"/>
    </row>
    <row r="103">
      <c r="Y103" s="46"/>
      <c r="Z103" s="47"/>
      <c r="AA103" s="47"/>
    </row>
    <row r="104">
      <c r="Y104" s="46"/>
      <c r="Z104" s="47"/>
      <c r="AA104" s="47"/>
    </row>
    <row r="105">
      <c r="Y105" s="46"/>
      <c r="Z105" s="47"/>
      <c r="AA105" s="47"/>
    </row>
    <row r="106">
      <c r="Y106" s="46"/>
      <c r="Z106" s="47"/>
      <c r="AA106" s="47"/>
    </row>
    <row r="107">
      <c r="Y107" s="46"/>
      <c r="Z107" s="47"/>
      <c r="AA107" s="47"/>
    </row>
    <row r="108">
      <c r="Y108" s="46"/>
      <c r="Z108" s="47"/>
      <c r="AA108" s="47"/>
    </row>
    <row r="109">
      <c r="Y109" s="46"/>
      <c r="Z109" s="47"/>
      <c r="AA109" s="47"/>
    </row>
    <row r="110">
      <c r="Y110" s="46"/>
      <c r="Z110" s="47"/>
      <c r="AA110" s="47"/>
    </row>
    <row r="111">
      <c r="Y111" s="46"/>
      <c r="Z111" s="47"/>
      <c r="AA111" s="47"/>
    </row>
    <row r="112">
      <c r="Y112" s="46"/>
      <c r="Z112" s="47"/>
      <c r="AA112" s="47"/>
    </row>
    <row r="113">
      <c r="Y113" s="46"/>
      <c r="Z113" s="47"/>
      <c r="AA113" s="47"/>
    </row>
    <row r="114">
      <c r="Y114" s="46"/>
      <c r="Z114" s="47"/>
      <c r="AA114" s="47"/>
    </row>
    <row r="115">
      <c r="Y115" s="46"/>
      <c r="Z115" s="47"/>
      <c r="AA115" s="47"/>
    </row>
    <row r="116">
      <c r="Y116" s="46"/>
      <c r="Z116" s="47"/>
      <c r="AA116" s="47"/>
    </row>
    <row r="117">
      <c r="Y117" s="46"/>
      <c r="Z117" s="47"/>
      <c r="AA117" s="47"/>
    </row>
    <row r="118">
      <c r="Y118" s="46"/>
      <c r="Z118" s="47"/>
      <c r="AA118" s="47"/>
    </row>
    <row r="119">
      <c r="Y119" s="46"/>
      <c r="Z119" s="47"/>
      <c r="AA119" s="47"/>
    </row>
    <row r="120">
      <c r="Y120" s="46"/>
      <c r="Z120" s="47"/>
      <c r="AA120" s="47"/>
    </row>
    <row r="121">
      <c r="Y121" s="46"/>
      <c r="Z121" s="47"/>
      <c r="AA121" s="47"/>
    </row>
    <row r="122">
      <c r="Y122" s="46"/>
      <c r="Z122" s="47"/>
      <c r="AA122" s="47"/>
    </row>
    <row r="123">
      <c r="Y123" s="46"/>
      <c r="Z123" s="47"/>
      <c r="AA123" s="47"/>
    </row>
    <row r="124">
      <c r="Y124" s="46"/>
      <c r="Z124" s="47"/>
      <c r="AA124" s="47"/>
    </row>
    <row r="125">
      <c r="Y125" s="46"/>
      <c r="Z125" s="47"/>
      <c r="AA125" s="47"/>
    </row>
    <row r="126">
      <c r="Y126" s="46"/>
      <c r="Z126" s="47"/>
      <c r="AA126" s="47"/>
    </row>
    <row r="127">
      <c r="Y127" s="46"/>
      <c r="Z127" s="47"/>
      <c r="AA127" s="47"/>
    </row>
    <row r="128">
      <c r="Y128" s="46"/>
      <c r="Z128" s="47"/>
      <c r="AA128" s="47"/>
    </row>
    <row r="129">
      <c r="Y129" s="46"/>
      <c r="Z129" s="47"/>
      <c r="AA129" s="47"/>
    </row>
    <row r="130">
      <c r="Y130" s="46"/>
      <c r="Z130" s="47"/>
      <c r="AA130" s="47"/>
    </row>
    <row r="131">
      <c r="Y131" s="46"/>
      <c r="Z131" s="47"/>
      <c r="AA131" s="47"/>
    </row>
    <row r="132">
      <c r="Y132" s="46"/>
      <c r="Z132" s="47"/>
      <c r="AA132" s="47"/>
    </row>
    <row r="133">
      <c r="Y133" s="46"/>
      <c r="Z133" s="47"/>
      <c r="AA133" s="47"/>
    </row>
    <row r="134">
      <c r="Y134" s="46"/>
      <c r="Z134" s="47"/>
      <c r="AA134" s="47"/>
    </row>
    <row r="135">
      <c r="Y135" s="46"/>
      <c r="Z135" s="47"/>
      <c r="AA135" s="47"/>
    </row>
    <row r="136">
      <c r="Y136" s="46"/>
      <c r="Z136" s="47"/>
      <c r="AA136" s="47"/>
    </row>
    <row r="137">
      <c r="Y137" s="46"/>
      <c r="Z137" s="47"/>
      <c r="AA137" s="47"/>
    </row>
    <row r="138">
      <c r="Y138" s="46"/>
      <c r="Z138" s="47"/>
      <c r="AA138" s="47"/>
    </row>
    <row r="139">
      <c r="Y139" s="46"/>
      <c r="Z139" s="47"/>
      <c r="AA139" s="47"/>
    </row>
    <row r="140">
      <c r="Y140" s="46"/>
      <c r="Z140" s="47"/>
      <c r="AA140" s="47"/>
    </row>
    <row r="141">
      <c r="Y141" s="46"/>
      <c r="Z141" s="47"/>
      <c r="AA141" s="47"/>
    </row>
    <row r="142">
      <c r="Y142" s="46"/>
      <c r="Z142" s="47"/>
      <c r="AA142" s="47"/>
    </row>
    <row r="143">
      <c r="Y143" s="46"/>
      <c r="Z143" s="47"/>
      <c r="AA143" s="47"/>
    </row>
    <row r="144">
      <c r="Y144" s="46"/>
      <c r="Z144" s="47"/>
      <c r="AA144" s="47"/>
    </row>
    <row r="145">
      <c r="Y145" s="46"/>
      <c r="Z145" s="47"/>
      <c r="AA145" s="47"/>
    </row>
    <row r="146">
      <c r="Y146" s="46"/>
      <c r="Z146" s="47"/>
      <c r="AA146" s="47"/>
    </row>
    <row r="147">
      <c r="Y147" s="46"/>
      <c r="Z147" s="47"/>
      <c r="AA147" s="47"/>
    </row>
    <row r="148">
      <c r="Y148" s="46"/>
      <c r="Z148" s="47"/>
      <c r="AA148" s="47"/>
    </row>
    <row r="149">
      <c r="Y149" s="46"/>
      <c r="Z149" s="47"/>
      <c r="AA149" s="47"/>
    </row>
    <row r="150">
      <c r="Y150" s="46"/>
      <c r="Z150" s="47"/>
      <c r="AA150" s="47"/>
    </row>
    <row r="151">
      <c r="Y151" s="46"/>
      <c r="Z151" s="47"/>
      <c r="AA151" s="47"/>
    </row>
    <row r="152">
      <c r="Y152" s="46"/>
      <c r="Z152" s="47"/>
      <c r="AA152" s="47"/>
    </row>
    <row r="153">
      <c r="Y153" s="46"/>
      <c r="Z153" s="47"/>
      <c r="AA153" s="47"/>
    </row>
    <row r="154">
      <c r="Y154" s="46"/>
      <c r="Z154" s="47"/>
      <c r="AA154" s="47"/>
    </row>
    <row r="155">
      <c r="Y155" s="46"/>
      <c r="Z155" s="47"/>
      <c r="AA155" s="47"/>
    </row>
    <row r="156">
      <c r="Y156" s="46"/>
      <c r="Z156" s="47"/>
      <c r="AA156" s="47"/>
    </row>
    <row r="157">
      <c r="Y157" s="46"/>
      <c r="Z157" s="47"/>
      <c r="AA157" s="47"/>
    </row>
    <row r="158">
      <c r="Y158" s="46"/>
      <c r="Z158" s="47"/>
      <c r="AA158" s="47"/>
    </row>
    <row r="159">
      <c r="Y159" s="46"/>
      <c r="Z159" s="47"/>
      <c r="AA159" s="47"/>
    </row>
    <row r="160">
      <c r="Y160" s="46"/>
      <c r="Z160" s="47"/>
      <c r="AA160" s="47"/>
    </row>
    <row r="161">
      <c r="Y161" s="46"/>
      <c r="Z161" s="47"/>
      <c r="AA161" s="47"/>
    </row>
    <row r="162">
      <c r="Y162" s="46"/>
      <c r="Z162" s="47"/>
      <c r="AA162" s="47"/>
    </row>
    <row r="163">
      <c r="Y163" s="46"/>
      <c r="Z163" s="47"/>
      <c r="AA163" s="47"/>
    </row>
    <row r="164">
      <c r="Y164" s="46"/>
      <c r="Z164" s="47"/>
      <c r="AA164" s="47"/>
    </row>
    <row r="165">
      <c r="Y165" s="46"/>
      <c r="Z165" s="47"/>
      <c r="AA165" s="47"/>
    </row>
    <row r="166">
      <c r="Y166" s="46"/>
      <c r="Z166" s="47"/>
      <c r="AA166" s="47"/>
    </row>
    <row r="167">
      <c r="Y167" s="46"/>
      <c r="Z167" s="47"/>
      <c r="AA167" s="47"/>
    </row>
    <row r="168">
      <c r="Y168" s="46"/>
      <c r="Z168" s="47"/>
      <c r="AA168" s="47"/>
    </row>
    <row r="169">
      <c r="Y169" s="46"/>
      <c r="Z169" s="47"/>
      <c r="AA169" s="47"/>
    </row>
    <row r="170">
      <c r="Y170" s="46"/>
      <c r="Z170" s="47"/>
      <c r="AA170" s="47"/>
    </row>
    <row r="171">
      <c r="Y171" s="46"/>
      <c r="Z171" s="47"/>
      <c r="AA171" s="47"/>
    </row>
    <row r="172">
      <c r="Y172" s="46"/>
      <c r="Z172" s="47"/>
      <c r="AA172" s="47"/>
    </row>
    <row r="173">
      <c r="Y173" s="46"/>
      <c r="Z173" s="47"/>
      <c r="AA173" s="47"/>
    </row>
    <row r="174">
      <c r="Y174" s="46"/>
      <c r="Z174" s="47"/>
      <c r="AA174" s="47"/>
    </row>
    <row r="175">
      <c r="Y175" s="46"/>
      <c r="Z175" s="47"/>
      <c r="AA175" s="47"/>
    </row>
    <row r="176">
      <c r="Y176" s="46"/>
      <c r="Z176" s="47"/>
      <c r="AA176" s="47"/>
    </row>
    <row r="177">
      <c r="Y177" s="46"/>
      <c r="Z177" s="47"/>
      <c r="AA177" s="47"/>
    </row>
    <row r="178">
      <c r="Y178" s="46"/>
      <c r="Z178" s="47"/>
      <c r="AA178" s="47"/>
    </row>
    <row r="179">
      <c r="Y179" s="46"/>
      <c r="Z179" s="47"/>
      <c r="AA179" s="47"/>
    </row>
    <row r="180">
      <c r="Y180" s="46"/>
      <c r="Z180" s="47"/>
      <c r="AA180" s="47"/>
    </row>
    <row r="181">
      <c r="Y181" s="46"/>
      <c r="Z181" s="47"/>
      <c r="AA181" s="47"/>
    </row>
    <row r="182">
      <c r="Y182" s="46"/>
      <c r="Z182" s="47"/>
      <c r="AA182" s="47"/>
    </row>
    <row r="183">
      <c r="Y183" s="46"/>
      <c r="Z183" s="47"/>
      <c r="AA183" s="47"/>
    </row>
    <row r="184">
      <c r="Y184" s="46"/>
      <c r="Z184" s="47"/>
      <c r="AA184" s="47"/>
    </row>
    <row r="185">
      <c r="Y185" s="46"/>
      <c r="Z185" s="47"/>
      <c r="AA185" s="47"/>
    </row>
    <row r="186">
      <c r="Y186" s="46"/>
      <c r="Z186" s="47"/>
      <c r="AA186" s="47"/>
    </row>
    <row r="187">
      <c r="Y187" s="46"/>
      <c r="Z187" s="47"/>
      <c r="AA187" s="47"/>
    </row>
    <row r="188">
      <c r="Y188" s="46"/>
      <c r="Z188" s="47"/>
      <c r="AA188" s="47"/>
    </row>
    <row r="189">
      <c r="Y189" s="46"/>
      <c r="Z189" s="47"/>
      <c r="AA189" s="47"/>
    </row>
    <row r="190">
      <c r="Y190" s="46"/>
      <c r="Z190" s="47"/>
      <c r="AA190" s="47"/>
    </row>
    <row r="191">
      <c r="Y191" s="46"/>
      <c r="Z191" s="47"/>
      <c r="AA191" s="47"/>
    </row>
    <row r="192">
      <c r="Y192" s="46"/>
      <c r="Z192" s="47"/>
      <c r="AA192" s="47"/>
    </row>
    <row r="193">
      <c r="Y193" s="46"/>
      <c r="Z193" s="47"/>
      <c r="AA193" s="47"/>
    </row>
    <row r="194">
      <c r="Y194" s="46"/>
      <c r="Z194" s="47"/>
      <c r="AA194" s="47"/>
    </row>
    <row r="195">
      <c r="Y195" s="46"/>
      <c r="Z195" s="47"/>
      <c r="AA195" s="47"/>
    </row>
    <row r="196">
      <c r="Y196" s="46"/>
      <c r="Z196" s="47"/>
      <c r="AA196" s="47"/>
    </row>
    <row r="197">
      <c r="Y197" s="46"/>
      <c r="Z197" s="47"/>
      <c r="AA197" s="47"/>
    </row>
    <row r="198">
      <c r="Y198" s="46"/>
      <c r="Z198" s="47"/>
      <c r="AA198" s="47"/>
    </row>
    <row r="199">
      <c r="Y199" s="46"/>
      <c r="Z199" s="47"/>
      <c r="AA199" s="47"/>
    </row>
    <row r="200">
      <c r="Y200" s="46"/>
      <c r="Z200" s="47"/>
      <c r="AA200" s="47"/>
    </row>
    <row r="201">
      <c r="Y201" s="46"/>
      <c r="Z201" s="47"/>
      <c r="AA201" s="47"/>
    </row>
    <row r="202">
      <c r="Y202" s="46"/>
      <c r="Z202" s="47"/>
      <c r="AA202" s="47"/>
    </row>
    <row r="203">
      <c r="Y203" s="46"/>
      <c r="Z203" s="47"/>
      <c r="AA203" s="47"/>
    </row>
    <row r="204">
      <c r="Y204" s="46"/>
      <c r="Z204" s="47"/>
      <c r="AA204" s="47"/>
    </row>
    <row r="205">
      <c r="Y205" s="46"/>
      <c r="Z205" s="47"/>
      <c r="AA205" s="47"/>
    </row>
    <row r="206">
      <c r="Y206" s="46"/>
      <c r="Z206" s="47"/>
      <c r="AA206" s="47"/>
    </row>
    <row r="207">
      <c r="Y207" s="46"/>
      <c r="Z207" s="47"/>
      <c r="AA207" s="47"/>
    </row>
    <row r="208">
      <c r="Y208" s="46"/>
      <c r="Z208" s="47"/>
      <c r="AA208" s="47"/>
    </row>
    <row r="209">
      <c r="Y209" s="46"/>
      <c r="Z209" s="47"/>
      <c r="AA209" s="47"/>
    </row>
    <row r="210">
      <c r="Y210" s="46"/>
      <c r="Z210" s="47"/>
      <c r="AA210" s="47"/>
    </row>
    <row r="211">
      <c r="Y211" s="46"/>
      <c r="Z211" s="47"/>
      <c r="AA211" s="47"/>
    </row>
    <row r="212">
      <c r="Y212" s="46"/>
      <c r="Z212" s="47"/>
      <c r="AA212" s="47"/>
    </row>
    <row r="213">
      <c r="Y213" s="46"/>
      <c r="Z213" s="47"/>
      <c r="AA213" s="47"/>
    </row>
    <row r="214">
      <c r="Y214" s="46"/>
      <c r="Z214" s="47"/>
      <c r="AA214" s="47"/>
    </row>
    <row r="215">
      <c r="Y215" s="46"/>
      <c r="Z215" s="47"/>
      <c r="AA215" s="47"/>
    </row>
    <row r="216">
      <c r="Y216" s="46"/>
      <c r="Z216" s="47"/>
      <c r="AA216" s="47"/>
    </row>
    <row r="217">
      <c r="Y217" s="46"/>
      <c r="Z217" s="47"/>
      <c r="AA217" s="47"/>
    </row>
    <row r="218">
      <c r="Y218" s="46"/>
      <c r="Z218" s="47"/>
      <c r="AA218" s="47"/>
    </row>
    <row r="219">
      <c r="Y219" s="46"/>
      <c r="Z219" s="47"/>
      <c r="AA219" s="47"/>
    </row>
    <row r="220">
      <c r="Y220" s="46"/>
      <c r="Z220" s="47"/>
      <c r="AA220" s="47"/>
    </row>
    <row r="221">
      <c r="Y221" s="46"/>
      <c r="Z221" s="47"/>
      <c r="AA221" s="47"/>
    </row>
    <row r="222">
      <c r="Y222" s="46"/>
      <c r="Z222" s="47"/>
      <c r="AA222" s="47"/>
    </row>
    <row r="223">
      <c r="Y223" s="46"/>
      <c r="Z223" s="47"/>
      <c r="AA223" s="47"/>
    </row>
    <row r="224">
      <c r="Y224" s="46"/>
      <c r="Z224" s="47"/>
      <c r="AA224" s="47"/>
    </row>
    <row r="225">
      <c r="Y225" s="46"/>
      <c r="Z225" s="47"/>
      <c r="AA225" s="47"/>
    </row>
    <row r="226">
      <c r="Y226" s="46"/>
      <c r="Z226" s="47"/>
      <c r="AA226" s="47"/>
    </row>
    <row r="227">
      <c r="Y227" s="46"/>
      <c r="Z227" s="47"/>
      <c r="AA227" s="47"/>
    </row>
    <row r="228">
      <c r="Y228" s="46"/>
      <c r="Z228" s="47"/>
      <c r="AA228" s="47"/>
    </row>
    <row r="229">
      <c r="Y229" s="46"/>
      <c r="Z229" s="47"/>
      <c r="AA229" s="47"/>
    </row>
    <row r="230">
      <c r="Y230" s="46"/>
      <c r="Z230" s="47"/>
      <c r="AA230" s="47"/>
    </row>
    <row r="231">
      <c r="Y231" s="46"/>
      <c r="Z231" s="47"/>
      <c r="AA231" s="47"/>
    </row>
    <row r="232">
      <c r="Y232" s="46"/>
      <c r="Z232" s="47"/>
      <c r="AA232" s="47"/>
    </row>
    <row r="233">
      <c r="Y233" s="46"/>
      <c r="Z233" s="47"/>
      <c r="AA233" s="47"/>
    </row>
    <row r="234">
      <c r="Y234" s="46"/>
      <c r="Z234" s="47"/>
      <c r="AA234" s="47"/>
    </row>
    <row r="235">
      <c r="Y235" s="46"/>
      <c r="Z235" s="47"/>
      <c r="AA235" s="47"/>
    </row>
    <row r="236">
      <c r="Y236" s="46"/>
      <c r="Z236" s="47"/>
      <c r="AA236" s="47"/>
    </row>
    <row r="237">
      <c r="Y237" s="46"/>
      <c r="Z237" s="47"/>
      <c r="AA237" s="47"/>
    </row>
    <row r="238">
      <c r="Y238" s="46"/>
      <c r="Z238" s="47"/>
      <c r="AA238" s="47"/>
    </row>
    <row r="239">
      <c r="Y239" s="46"/>
      <c r="Z239" s="47"/>
      <c r="AA239" s="47"/>
    </row>
    <row r="240">
      <c r="Y240" s="46"/>
      <c r="Z240" s="47"/>
      <c r="AA240" s="47"/>
    </row>
    <row r="241">
      <c r="Y241" s="46"/>
      <c r="Z241" s="47"/>
      <c r="AA241" s="47"/>
    </row>
    <row r="242">
      <c r="Y242" s="46"/>
      <c r="Z242" s="47"/>
      <c r="AA242" s="47"/>
    </row>
    <row r="243">
      <c r="Y243" s="46"/>
      <c r="Z243" s="47"/>
      <c r="AA243" s="47"/>
    </row>
    <row r="244">
      <c r="Y244" s="46"/>
      <c r="Z244" s="47"/>
      <c r="AA244" s="47"/>
    </row>
    <row r="245">
      <c r="Y245" s="46"/>
      <c r="Z245" s="47"/>
      <c r="AA245" s="47"/>
    </row>
    <row r="246">
      <c r="Y246" s="46"/>
      <c r="Z246" s="47"/>
      <c r="AA246" s="47"/>
    </row>
    <row r="247">
      <c r="Y247" s="46"/>
      <c r="Z247" s="47"/>
      <c r="AA247" s="47"/>
    </row>
    <row r="248">
      <c r="Y248" s="46"/>
      <c r="Z248" s="47"/>
      <c r="AA248" s="47"/>
    </row>
    <row r="249">
      <c r="Y249" s="46"/>
      <c r="Z249" s="47"/>
      <c r="AA249" s="47"/>
    </row>
    <row r="250">
      <c r="Y250" s="46"/>
      <c r="Z250" s="47"/>
      <c r="AA250" s="47"/>
    </row>
    <row r="251">
      <c r="Y251" s="46"/>
      <c r="Z251" s="47"/>
      <c r="AA251" s="47"/>
    </row>
    <row r="252">
      <c r="Y252" s="46"/>
      <c r="Z252" s="47"/>
      <c r="AA252" s="47"/>
    </row>
    <row r="253">
      <c r="Y253" s="46"/>
      <c r="Z253" s="47"/>
      <c r="AA253" s="47"/>
    </row>
    <row r="254">
      <c r="Y254" s="46"/>
      <c r="Z254" s="47"/>
      <c r="AA254" s="47"/>
    </row>
    <row r="255">
      <c r="Y255" s="46"/>
      <c r="Z255" s="47"/>
      <c r="AA255" s="47"/>
    </row>
    <row r="256">
      <c r="Y256" s="46"/>
      <c r="Z256" s="47"/>
      <c r="AA256" s="47"/>
    </row>
    <row r="257">
      <c r="Y257" s="46"/>
      <c r="Z257" s="47"/>
      <c r="AA257" s="47"/>
    </row>
    <row r="258">
      <c r="Y258" s="46"/>
      <c r="Z258" s="47"/>
      <c r="AA258" s="47"/>
    </row>
    <row r="259">
      <c r="Y259" s="46"/>
      <c r="Z259" s="47"/>
      <c r="AA259" s="47"/>
    </row>
    <row r="260">
      <c r="Y260" s="46"/>
      <c r="Z260" s="47"/>
      <c r="AA260" s="47"/>
    </row>
    <row r="261">
      <c r="Y261" s="46"/>
      <c r="Z261" s="47"/>
      <c r="AA261" s="47"/>
    </row>
    <row r="262">
      <c r="Y262" s="46"/>
      <c r="Z262" s="47"/>
      <c r="AA262" s="47"/>
    </row>
    <row r="263">
      <c r="Y263" s="46"/>
      <c r="Z263" s="47"/>
      <c r="AA263" s="47"/>
    </row>
    <row r="264">
      <c r="Y264" s="46"/>
      <c r="Z264" s="47"/>
      <c r="AA264" s="47"/>
    </row>
    <row r="265">
      <c r="Y265" s="46"/>
      <c r="Z265" s="47"/>
      <c r="AA265" s="47"/>
    </row>
    <row r="266">
      <c r="Y266" s="46"/>
      <c r="Z266" s="47"/>
      <c r="AA266" s="47"/>
    </row>
    <row r="267">
      <c r="Y267" s="46"/>
      <c r="Z267" s="47"/>
      <c r="AA267" s="47"/>
    </row>
    <row r="268">
      <c r="Y268" s="46"/>
      <c r="Z268" s="47"/>
      <c r="AA268" s="47"/>
    </row>
    <row r="269">
      <c r="Y269" s="46"/>
      <c r="Z269" s="47"/>
      <c r="AA269" s="47"/>
    </row>
    <row r="270">
      <c r="Y270" s="46"/>
      <c r="Z270" s="47"/>
      <c r="AA270" s="47"/>
    </row>
    <row r="271">
      <c r="Y271" s="46"/>
      <c r="Z271" s="47"/>
      <c r="AA271" s="47"/>
    </row>
    <row r="272">
      <c r="Y272" s="46"/>
      <c r="Z272" s="47"/>
      <c r="AA272" s="47"/>
    </row>
    <row r="273">
      <c r="Y273" s="46"/>
      <c r="Z273" s="47"/>
      <c r="AA273" s="47"/>
    </row>
    <row r="274">
      <c r="Y274" s="46"/>
      <c r="Z274" s="47"/>
      <c r="AA274" s="47"/>
    </row>
    <row r="275">
      <c r="Y275" s="46"/>
      <c r="Z275" s="47"/>
      <c r="AA275" s="47"/>
    </row>
    <row r="276">
      <c r="Y276" s="46"/>
      <c r="Z276" s="47"/>
      <c r="AA276" s="47"/>
    </row>
    <row r="277">
      <c r="Y277" s="46"/>
      <c r="Z277" s="47"/>
      <c r="AA277" s="47"/>
    </row>
    <row r="278">
      <c r="Y278" s="46"/>
      <c r="Z278" s="47"/>
      <c r="AA278" s="47"/>
    </row>
    <row r="279">
      <c r="Y279" s="46"/>
      <c r="Z279" s="47"/>
      <c r="AA279" s="47"/>
    </row>
    <row r="280">
      <c r="Y280" s="46"/>
      <c r="Z280" s="47"/>
      <c r="AA280" s="47"/>
    </row>
    <row r="281">
      <c r="Y281" s="46"/>
      <c r="Z281" s="47"/>
      <c r="AA281" s="47"/>
    </row>
    <row r="282">
      <c r="Y282" s="46"/>
      <c r="Z282" s="47"/>
      <c r="AA282" s="47"/>
    </row>
    <row r="283">
      <c r="Y283" s="46"/>
      <c r="Z283" s="47"/>
      <c r="AA283" s="47"/>
    </row>
    <row r="284">
      <c r="Y284" s="46"/>
      <c r="Z284" s="47"/>
      <c r="AA284" s="47"/>
    </row>
    <row r="285">
      <c r="Y285" s="46"/>
      <c r="Z285" s="47"/>
      <c r="AA285" s="47"/>
    </row>
    <row r="286">
      <c r="Y286" s="46"/>
      <c r="Z286" s="47"/>
      <c r="AA286" s="47"/>
    </row>
    <row r="287">
      <c r="Y287" s="46"/>
      <c r="Z287" s="47"/>
      <c r="AA287" s="47"/>
    </row>
    <row r="288">
      <c r="Y288" s="46"/>
      <c r="Z288" s="47"/>
      <c r="AA288" s="47"/>
    </row>
    <row r="289">
      <c r="Y289" s="46"/>
      <c r="Z289" s="47"/>
      <c r="AA289" s="47"/>
    </row>
    <row r="290">
      <c r="Y290" s="46"/>
      <c r="Z290" s="47"/>
      <c r="AA290" s="47"/>
    </row>
    <row r="291">
      <c r="Y291" s="46"/>
      <c r="Z291" s="47"/>
      <c r="AA291" s="47"/>
    </row>
    <row r="292">
      <c r="Y292" s="46"/>
      <c r="Z292" s="47"/>
      <c r="AA292" s="47"/>
    </row>
    <row r="293">
      <c r="Y293" s="46"/>
      <c r="Z293" s="47"/>
      <c r="AA293" s="47"/>
    </row>
    <row r="294">
      <c r="Y294" s="46"/>
      <c r="Z294" s="47"/>
      <c r="AA294" s="47"/>
    </row>
    <row r="295">
      <c r="Y295" s="46"/>
      <c r="Z295" s="47"/>
      <c r="AA295" s="47"/>
    </row>
    <row r="296">
      <c r="Y296" s="46"/>
      <c r="Z296" s="47"/>
      <c r="AA296" s="47"/>
    </row>
    <row r="297">
      <c r="Y297" s="46"/>
      <c r="Z297" s="47"/>
      <c r="AA297" s="47"/>
    </row>
    <row r="298">
      <c r="Y298" s="46"/>
      <c r="Z298" s="47"/>
      <c r="AA298" s="47"/>
    </row>
    <row r="299">
      <c r="Y299" s="46"/>
      <c r="Z299" s="47"/>
      <c r="AA299" s="47"/>
    </row>
    <row r="300">
      <c r="Y300" s="46"/>
      <c r="Z300" s="47"/>
      <c r="AA300" s="47"/>
    </row>
    <row r="301">
      <c r="Y301" s="46"/>
      <c r="Z301" s="47"/>
      <c r="AA301" s="47"/>
    </row>
    <row r="302">
      <c r="Y302" s="46"/>
      <c r="Z302" s="47"/>
      <c r="AA302" s="47"/>
    </row>
    <row r="303">
      <c r="Y303" s="46"/>
      <c r="Z303" s="47"/>
      <c r="AA303" s="47"/>
    </row>
    <row r="304">
      <c r="Y304" s="46"/>
      <c r="Z304" s="47"/>
      <c r="AA304" s="47"/>
    </row>
    <row r="305">
      <c r="Y305" s="46"/>
      <c r="Z305" s="47"/>
      <c r="AA305" s="47"/>
    </row>
    <row r="306">
      <c r="Y306" s="46"/>
      <c r="Z306" s="47"/>
      <c r="AA306" s="47"/>
    </row>
    <row r="307">
      <c r="Y307" s="46"/>
      <c r="Z307" s="47"/>
      <c r="AA307" s="47"/>
    </row>
    <row r="308">
      <c r="Y308" s="46"/>
      <c r="Z308" s="47"/>
      <c r="AA308" s="47"/>
    </row>
    <row r="309">
      <c r="Y309" s="46"/>
      <c r="Z309" s="47"/>
      <c r="AA309" s="47"/>
    </row>
    <row r="310">
      <c r="Y310" s="46"/>
      <c r="Z310" s="47"/>
      <c r="AA310" s="47"/>
    </row>
    <row r="311">
      <c r="Y311" s="46"/>
      <c r="Z311" s="47"/>
      <c r="AA311" s="47"/>
    </row>
    <row r="312">
      <c r="Y312" s="46"/>
      <c r="Z312" s="47"/>
      <c r="AA312" s="47"/>
    </row>
    <row r="313">
      <c r="Y313" s="46"/>
      <c r="Z313" s="47"/>
      <c r="AA313" s="47"/>
    </row>
    <row r="314">
      <c r="Y314" s="46"/>
      <c r="Z314" s="47"/>
      <c r="AA314" s="47"/>
    </row>
    <row r="315">
      <c r="Y315" s="46"/>
      <c r="Z315" s="47"/>
      <c r="AA315" s="47"/>
    </row>
    <row r="316">
      <c r="Y316" s="46"/>
      <c r="Z316" s="47"/>
      <c r="AA316" s="47"/>
    </row>
    <row r="317">
      <c r="Y317" s="46"/>
      <c r="Z317" s="47"/>
      <c r="AA317" s="47"/>
    </row>
    <row r="318">
      <c r="Y318" s="46"/>
      <c r="Z318" s="47"/>
      <c r="AA318" s="47"/>
    </row>
    <row r="319">
      <c r="Y319" s="46"/>
      <c r="Z319" s="47"/>
      <c r="AA319" s="47"/>
    </row>
    <row r="320">
      <c r="Y320" s="46"/>
      <c r="Z320" s="47"/>
      <c r="AA320" s="47"/>
    </row>
    <row r="321">
      <c r="Y321" s="46"/>
      <c r="Z321" s="47"/>
      <c r="AA321" s="47"/>
    </row>
    <row r="322">
      <c r="Y322" s="46"/>
      <c r="Z322" s="47"/>
      <c r="AA322" s="47"/>
    </row>
    <row r="323">
      <c r="Y323" s="46"/>
      <c r="Z323" s="47"/>
      <c r="AA323" s="47"/>
    </row>
    <row r="324">
      <c r="Y324" s="46"/>
      <c r="Z324" s="47"/>
      <c r="AA324" s="47"/>
    </row>
    <row r="325">
      <c r="Y325" s="46"/>
      <c r="Z325" s="47"/>
      <c r="AA325" s="47"/>
    </row>
    <row r="326">
      <c r="Y326" s="46"/>
      <c r="Z326" s="47"/>
      <c r="AA326" s="47"/>
    </row>
    <row r="327">
      <c r="Y327" s="46"/>
      <c r="Z327" s="47"/>
      <c r="AA327" s="47"/>
    </row>
    <row r="328">
      <c r="Y328" s="46"/>
      <c r="Z328" s="47"/>
      <c r="AA328" s="47"/>
    </row>
    <row r="329">
      <c r="Y329" s="46"/>
      <c r="Z329" s="47"/>
      <c r="AA329" s="47"/>
    </row>
    <row r="330">
      <c r="Y330" s="46"/>
      <c r="Z330" s="47"/>
      <c r="AA330" s="47"/>
    </row>
    <row r="331">
      <c r="Y331" s="46"/>
      <c r="Z331" s="47"/>
      <c r="AA331" s="47"/>
    </row>
    <row r="332">
      <c r="Y332" s="46"/>
      <c r="Z332" s="47"/>
      <c r="AA332" s="47"/>
    </row>
    <row r="333">
      <c r="Y333" s="46"/>
      <c r="Z333" s="47"/>
      <c r="AA333" s="47"/>
    </row>
    <row r="334">
      <c r="Y334" s="46"/>
      <c r="Z334" s="47"/>
      <c r="AA334" s="47"/>
    </row>
    <row r="335">
      <c r="Y335" s="46"/>
      <c r="Z335" s="47"/>
      <c r="AA335" s="47"/>
    </row>
    <row r="336">
      <c r="Y336" s="46"/>
      <c r="Z336" s="47"/>
      <c r="AA336" s="47"/>
    </row>
    <row r="337">
      <c r="Y337" s="46"/>
      <c r="Z337" s="47"/>
      <c r="AA337" s="47"/>
    </row>
    <row r="338">
      <c r="Y338" s="46"/>
      <c r="Z338" s="47"/>
      <c r="AA338" s="47"/>
    </row>
    <row r="339">
      <c r="Y339" s="46"/>
      <c r="Z339" s="47"/>
      <c r="AA339" s="47"/>
    </row>
    <row r="340">
      <c r="Y340" s="46"/>
      <c r="Z340" s="47"/>
      <c r="AA340" s="47"/>
    </row>
    <row r="341">
      <c r="Y341" s="46"/>
      <c r="Z341" s="47"/>
      <c r="AA341" s="47"/>
    </row>
    <row r="342">
      <c r="Y342" s="46"/>
      <c r="Z342" s="47"/>
      <c r="AA342" s="47"/>
    </row>
    <row r="343">
      <c r="Y343" s="46"/>
      <c r="Z343" s="47"/>
      <c r="AA343" s="47"/>
    </row>
    <row r="344">
      <c r="Y344" s="46"/>
      <c r="Z344" s="47"/>
      <c r="AA344" s="47"/>
    </row>
    <row r="345">
      <c r="Y345" s="46"/>
      <c r="Z345" s="47"/>
      <c r="AA345" s="47"/>
    </row>
    <row r="346">
      <c r="Y346" s="46"/>
      <c r="Z346" s="47"/>
      <c r="AA346" s="47"/>
    </row>
    <row r="347">
      <c r="Y347" s="46"/>
      <c r="Z347" s="47"/>
      <c r="AA347" s="47"/>
    </row>
    <row r="348">
      <c r="Y348" s="46"/>
      <c r="Z348" s="47"/>
      <c r="AA348" s="47"/>
    </row>
    <row r="349">
      <c r="Y349" s="46"/>
      <c r="Z349" s="47"/>
      <c r="AA349" s="47"/>
    </row>
    <row r="350">
      <c r="Y350" s="46"/>
      <c r="Z350" s="47"/>
      <c r="AA350" s="47"/>
    </row>
    <row r="351">
      <c r="Y351" s="46"/>
      <c r="Z351" s="47"/>
      <c r="AA351" s="47"/>
    </row>
    <row r="352">
      <c r="Y352" s="46"/>
      <c r="Z352" s="47"/>
      <c r="AA352" s="47"/>
    </row>
    <row r="353">
      <c r="Y353" s="46"/>
      <c r="Z353" s="47"/>
      <c r="AA353" s="47"/>
    </row>
    <row r="354">
      <c r="Y354" s="46"/>
      <c r="Z354" s="47"/>
      <c r="AA354" s="47"/>
    </row>
    <row r="355">
      <c r="Y355" s="46"/>
      <c r="Z355" s="47"/>
      <c r="AA355" s="47"/>
    </row>
    <row r="356">
      <c r="Y356" s="46"/>
      <c r="Z356" s="47"/>
      <c r="AA356" s="47"/>
    </row>
    <row r="357">
      <c r="Y357" s="46"/>
      <c r="Z357" s="47"/>
      <c r="AA357" s="47"/>
    </row>
    <row r="358">
      <c r="Y358" s="46"/>
      <c r="Z358" s="47"/>
      <c r="AA358" s="47"/>
    </row>
    <row r="359">
      <c r="Y359" s="46"/>
      <c r="Z359" s="47"/>
      <c r="AA359" s="47"/>
    </row>
    <row r="360">
      <c r="Y360" s="46"/>
      <c r="Z360" s="47"/>
      <c r="AA360" s="47"/>
    </row>
    <row r="361">
      <c r="Y361" s="46"/>
      <c r="Z361" s="47"/>
      <c r="AA361" s="47"/>
    </row>
    <row r="362">
      <c r="Y362" s="46"/>
      <c r="Z362" s="47"/>
      <c r="AA362" s="47"/>
    </row>
    <row r="363">
      <c r="Y363" s="46"/>
      <c r="Z363" s="47"/>
      <c r="AA363" s="47"/>
    </row>
    <row r="364">
      <c r="Y364" s="46"/>
      <c r="Z364" s="47"/>
      <c r="AA364" s="47"/>
    </row>
    <row r="365">
      <c r="Y365" s="46"/>
      <c r="Z365" s="47"/>
      <c r="AA365" s="47"/>
    </row>
    <row r="366">
      <c r="Y366" s="46"/>
      <c r="Z366" s="47"/>
      <c r="AA366" s="47"/>
    </row>
    <row r="367">
      <c r="Y367" s="46"/>
      <c r="Z367" s="47"/>
      <c r="AA367" s="47"/>
    </row>
    <row r="368">
      <c r="Y368" s="46"/>
      <c r="Z368" s="47"/>
      <c r="AA368" s="47"/>
    </row>
    <row r="369">
      <c r="Y369" s="46"/>
      <c r="Z369" s="47"/>
      <c r="AA369" s="47"/>
    </row>
    <row r="370">
      <c r="Y370" s="46"/>
      <c r="Z370" s="47"/>
      <c r="AA370" s="47"/>
    </row>
    <row r="371">
      <c r="Y371" s="46"/>
      <c r="Z371" s="47"/>
      <c r="AA371" s="47"/>
    </row>
    <row r="372">
      <c r="Y372" s="46"/>
      <c r="Z372" s="47"/>
      <c r="AA372" s="47"/>
    </row>
    <row r="373">
      <c r="Y373" s="46"/>
      <c r="Z373" s="47"/>
      <c r="AA373" s="47"/>
    </row>
    <row r="374">
      <c r="Y374" s="46"/>
      <c r="Z374" s="47"/>
      <c r="AA374" s="47"/>
    </row>
    <row r="375">
      <c r="Y375" s="46"/>
      <c r="Z375" s="47"/>
      <c r="AA375" s="47"/>
    </row>
    <row r="376">
      <c r="Y376" s="46"/>
      <c r="Z376" s="47"/>
      <c r="AA376" s="47"/>
    </row>
    <row r="377">
      <c r="Y377" s="46"/>
      <c r="Z377" s="47"/>
      <c r="AA377" s="47"/>
    </row>
    <row r="378">
      <c r="Y378" s="46"/>
      <c r="Z378" s="47"/>
      <c r="AA378" s="47"/>
    </row>
    <row r="379">
      <c r="Y379" s="46"/>
      <c r="Z379" s="47"/>
      <c r="AA379" s="47"/>
    </row>
    <row r="380">
      <c r="Y380" s="46"/>
      <c r="Z380" s="47"/>
      <c r="AA380" s="47"/>
    </row>
    <row r="381">
      <c r="Y381" s="46"/>
      <c r="Z381" s="47"/>
      <c r="AA381" s="47"/>
    </row>
    <row r="382">
      <c r="Y382" s="46"/>
      <c r="Z382" s="47"/>
      <c r="AA382" s="47"/>
    </row>
    <row r="383">
      <c r="Y383" s="46"/>
      <c r="Z383" s="47"/>
      <c r="AA383" s="47"/>
    </row>
    <row r="384">
      <c r="Y384" s="46"/>
      <c r="Z384" s="47"/>
      <c r="AA384" s="47"/>
    </row>
    <row r="385">
      <c r="Y385" s="46"/>
      <c r="Z385" s="47"/>
      <c r="AA385" s="47"/>
    </row>
    <row r="386">
      <c r="Y386" s="46"/>
      <c r="Z386" s="47"/>
      <c r="AA386" s="47"/>
    </row>
    <row r="387">
      <c r="Y387" s="46"/>
      <c r="Z387" s="47"/>
      <c r="AA387" s="47"/>
    </row>
    <row r="388">
      <c r="Y388" s="46"/>
      <c r="Z388" s="47"/>
      <c r="AA388" s="47"/>
    </row>
    <row r="389">
      <c r="Y389" s="46"/>
      <c r="Z389" s="47"/>
      <c r="AA389" s="47"/>
    </row>
    <row r="390">
      <c r="Y390" s="46"/>
      <c r="Z390" s="47"/>
      <c r="AA390" s="47"/>
    </row>
    <row r="391">
      <c r="Y391" s="46"/>
      <c r="Z391" s="47"/>
      <c r="AA391" s="47"/>
    </row>
    <row r="392">
      <c r="Y392" s="46"/>
      <c r="Z392" s="47"/>
      <c r="AA392" s="47"/>
    </row>
    <row r="393">
      <c r="Y393" s="46"/>
      <c r="Z393" s="47"/>
      <c r="AA393" s="47"/>
    </row>
    <row r="394">
      <c r="Y394" s="46"/>
      <c r="Z394" s="47"/>
      <c r="AA394" s="47"/>
    </row>
    <row r="395">
      <c r="Y395" s="46"/>
      <c r="Z395" s="47"/>
      <c r="AA395" s="47"/>
    </row>
    <row r="396">
      <c r="Y396" s="46"/>
      <c r="Z396" s="47"/>
      <c r="AA396" s="47"/>
    </row>
    <row r="397">
      <c r="Y397" s="46"/>
      <c r="Z397" s="47"/>
      <c r="AA397" s="47"/>
    </row>
    <row r="398">
      <c r="Y398" s="46"/>
      <c r="Z398" s="47"/>
      <c r="AA398" s="47"/>
    </row>
    <row r="399">
      <c r="Y399" s="46"/>
      <c r="Z399" s="47"/>
      <c r="AA399" s="47"/>
    </row>
    <row r="400">
      <c r="Y400" s="46"/>
      <c r="Z400" s="47"/>
      <c r="AA400" s="47"/>
    </row>
    <row r="401">
      <c r="Y401" s="46"/>
      <c r="Z401" s="47"/>
      <c r="AA401" s="47"/>
    </row>
    <row r="402">
      <c r="Y402" s="46"/>
      <c r="Z402" s="47"/>
      <c r="AA402" s="47"/>
    </row>
    <row r="403">
      <c r="Y403" s="46"/>
      <c r="Z403" s="47"/>
      <c r="AA403" s="47"/>
    </row>
    <row r="404">
      <c r="Y404" s="46"/>
      <c r="Z404" s="47"/>
      <c r="AA404" s="47"/>
    </row>
    <row r="405">
      <c r="Y405" s="46"/>
      <c r="Z405" s="47"/>
      <c r="AA405" s="47"/>
    </row>
    <row r="406">
      <c r="Y406" s="46"/>
      <c r="Z406" s="47"/>
      <c r="AA406" s="47"/>
    </row>
    <row r="407">
      <c r="Y407" s="46"/>
      <c r="Z407" s="47"/>
      <c r="AA407" s="47"/>
    </row>
    <row r="408">
      <c r="Y408" s="46"/>
      <c r="Z408" s="47"/>
      <c r="AA408" s="47"/>
    </row>
    <row r="409">
      <c r="Y409" s="46"/>
      <c r="Z409" s="47"/>
      <c r="AA409" s="47"/>
    </row>
    <row r="410">
      <c r="Y410" s="46"/>
      <c r="Z410" s="47"/>
      <c r="AA410" s="47"/>
    </row>
    <row r="411">
      <c r="Y411" s="46"/>
      <c r="Z411" s="47"/>
      <c r="AA411" s="47"/>
    </row>
    <row r="412">
      <c r="Y412" s="46"/>
      <c r="Z412" s="47"/>
      <c r="AA412" s="47"/>
    </row>
    <row r="413">
      <c r="Y413" s="46"/>
      <c r="Z413" s="47"/>
      <c r="AA413" s="47"/>
    </row>
    <row r="414">
      <c r="Y414" s="46"/>
      <c r="Z414" s="47"/>
      <c r="AA414" s="47"/>
    </row>
    <row r="415">
      <c r="Y415" s="46"/>
      <c r="Z415" s="47"/>
      <c r="AA415" s="47"/>
    </row>
    <row r="416">
      <c r="Y416" s="46"/>
      <c r="Z416" s="47"/>
      <c r="AA416" s="47"/>
    </row>
    <row r="417">
      <c r="Y417" s="46"/>
      <c r="Z417" s="47"/>
      <c r="AA417" s="47"/>
    </row>
    <row r="418">
      <c r="Y418" s="46"/>
      <c r="Z418" s="47"/>
      <c r="AA418" s="47"/>
    </row>
    <row r="419">
      <c r="Y419" s="46"/>
      <c r="Z419" s="47"/>
      <c r="AA419" s="47"/>
    </row>
    <row r="420">
      <c r="Y420" s="46"/>
      <c r="Z420" s="47"/>
      <c r="AA420" s="47"/>
    </row>
    <row r="421">
      <c r="Y421" s="46"/>
      <c r="Z421" s="47"/>
      <c r="AA421" s="47"/>
    </row>
    <row r="422">
      <c r="Y422" s="46"/>
      <c r="Z422" s="47"/>
      <c r="AA422" s="47"/>
    </row>
    <row r="423">
      <c r="Y423" s="46"/>
      <c r="Z423" s="47"/>
      <c r="AA423" s="47"/>
    </row>
    <row r="424">
      <c r="Y424" s="46"/>
      <c r="Z424" s="47"/>
      <c r="AA424" s="47"/>
    </row>
    <row r="425">
      <c r="Y425" s="46"/>
      <c r="Z425" s="47"/>
      <c r="AA425" s="47"/>
    </row>
    <row r="426">
      <c r="Y426" s="46"/>
      <c r="Z426" s="47"/>
      <c r="AA426" s="47"/>
    </row>
    <row r="427">
      <c r="Y427" s="46"/>
      <c r="Z427" s="47"/>
      <c r="AA427" s="47"/>
    </row>
    <row r="428">
      <c r="Y428" s="46"/>
      <c r="Z428" s="47"/>
      <c r="AA428" s="47"/>
    </row>
    <row r="429">
      <c r="Y429" s="46"/>
      <c r="Z429" s="47"/>
      <c r="AA429" s="47"/>
    </row>
    <row r="430">
      <c r="Y430" s="46"/>
      <c r="Z430" s="47"/>
      <c r="AA430" s="47"/>
    </row>
    <row r="431">
      <c r="Y431" s="46"/>
      <c r="Z431" s="47"/>
      <c r="AA431" s="47"/>
    </row>
    <row r="432">
      <c r="Y432" s="46"/>
      <c r="Z432" s="47"/>
      <c r="AA432" s="47"/>
    </row>
    <row r="433">
      <c r="Y433" s="46"/>
      <c r="Z433" s="47"/>
      <c r="AA433" s="47"/>
    </row>
    <row r="434">
      <c r="Y434" s="46"/>
      <c r="Z434" s="47"/>
      <c r="AA434" s="47"/>
    </row>
    <row r="435">
      <c r="Y435" s="46"/>
      <c r="Z435" s="47"/>
      <c r="AA435" s="47"/>
    </row>
    <row r="436">
      <c r="Y436" s="46"/>
      <c r="Z436" s="47"/>
      <c r="AA436" s="47"/>
    </row>
    <row r="437">
      <c r="Y437" s="46"/>
      <c r="Z437" s="47"/>
      <c r="AA437" s="47"/>
    </row>
    <row r="438">
      <c r="Y438" s="46"/>
      <c r="Z438" s="47"/>
      <c r="AA438" s="47"/>
    </row>
    <row r="439">
      <c r="Y439" s="46"/>
      <c r="Z439" s="47"/>
      <c r="AA439" s="47"/>
    </row>
    <row r="440">
      <c r="Y440" s="46"/>
      <c r="Z440" s="47"/>
      <c r="AA440" s="47"/>
    </row>
    <row r="441">
      <c r="Y441" s="46"/>
      <c r="Z441" s="47"/>
      <c r="AA441" s="47"/>
    </row>
    <row r="442">
      <c r="Y442" s="46"/>
      <c r="Z442" s="47"/>
      <c r="AA442" s="47"/>
    </row>
    <row r="443">
      <c r="Y443" s="46"/>
      <c r="Z443" s="47"/>
      <c r="AA443" s="47"/>
    </row>
    <row r="444">
      <c r="Y444" s="46"/>
      <c r="Z444" s="47"/>
      <c r="AA444" s="47"/>
    </row>
    <row r="445">
      <c r="Y445" s="46"/>
      <c r="Z445" s="47"/>
      <c r="AA445" s="47"/>
    </row>
    <row r="446">
      <c r="Y446" s="46"/>
      <c r="Z446" s="47"/>
      <c r="AA446" s="47"/>
    </row>
    <row r="447">
      <c r="Y447" s="46"/>
      <c r="Z447" s="47"/>
      <c r="AA447" s="47"/>
    </row>
    <row r="448">
      <c r="Y448" s="46"/>
      <c r="Z448" s="47"/>
      <c r="AA448" s="47"/>
    </row>
    <row r="449">
      <c r="Y449" s="46"/>
      <c r="Z449" s="47"/>
      <c r="AA449" s="47"/>
    </row>
    <row r="450">
      <c r="Y450" s="46"/>
      <c r="Z450" s="47"/>
      <c r="AA450" s="47"/>
    </row>
    <row r="451">
      <c r="Y451" s="46"/>
      <c r="Z451" s="47"/>
      <c r="AA451" s="47"/>
    </row>
    <row r="452">
      <c r="Y452" s="46"/>
      <c r="Z452" s="47"/>
      <c r="AA452" s="47"/>
    </row>
    <row r="453">
      <c r="Y453" s="46"/>
      <c r="Z453" s="47"/>
      <c r="AA453" s="47"/>
    </row>
    <row r="454">
      <c r="Y454" s="46"/>
      <c r="Z454" s="47"/>
      <c r="AA454" s="47"/>
    </row>
    <row r="455">
      <c r="Y455" s="46"/>
      <c r="Z455" s="47"/>
      <c r="AA455" s="47"/>
    </row>
    <row r="456">
      <c r="Y456" s="46"/>
      <c r="Z456" s="47"/>
      <c r="AA456" s="47"/>
    </row>
    <row r="457">
      <c r="Y457" s="46"/>
      <c r="Z457" s="47"/>
      <c r="AA457" s="47"/>
    </row>
    <row r="458">
      <c r="Y458" s="46"/>
      <c r="Z458" s="47"/>
      <c r="AA458" s="47"/>
    </row>
    <row r="459">
      <c r="Y459" s="46"/>
      <c r="Z459" s="47"/>
      <c r="AA459" s="47"/>
    </row>
    <row r="460">
      <c r="Y460" s="46"/>
      <c r="Z460" s="47"/>
      <c r="AA460" s="47"/>
    </row>
    <row r="461">
      <c r="Y461" s="46"/>
      <c r="Z461" s="47"/>
      <c r="AA461" s="47"/>
    </row>
    <row r="462">
      <c r="Y462" s="46"/>
      <c r="Z462" s="47"/>
      <c r="AA462" s="47"/>
    </row>
    <row r="463">
      <c r="Y463" s="46"/>
      <c r="Z463" s="47"/>
      <c r="AA463" s="47"/>
    </row>
    <row r="464">
      <c r="Y464" s="46"/>
      <c r="Z464" s="47"/>
      <c r="AA464" s="47"/>
    </row>
    <row r="465">
      <c r="Y465" s="46"/>
      <c r="Z465" s="47"/>
      <c r="AA465" s="47"/>
    </row>
    <row r="466">
      <c r="Y466" s="46"/>
      <c r="Z466" s="47"/>
      <c r="AA466" s="47"/>
    </row>
    <row r="467">
      <c r="Y467" s="46"/>
      <c r="Z467" s="47"/>
      <c r="AA467" s="47"/>
    </row>
    <row r="468">
      <c r="Y468" s="46"/>
      <c r="Z468" s="47"/>
      <c r="AA468" s="47"/>
    </row>
    <row r="469">
      <c r="Y469" s="46"/>
      <c r="Z469" s="47"/>
      <c r="AA469" s="47"/>
    </row>
    <row r="470">
      <c r="Y470" s="46"/>
      <c r="Z470" s="47"/>
      <c r="AA470" s="47"/>
    </row>
    <row r="471">
      <c r="Y471" s="46"/>
      <c r="Z471" s="47"/>
      <c r="AA471" s="47"/>
    </row>
    <row r="472">
      <c r="Y472" s="46"/>
      <c r="Z472" s="47"/>
      <c r="AA472" s="47"/>
    </row>
    <row r="473">
      <c r="Y473" s="46"/>
      <c r="Z473" s="47"/>
      <c r="AA473" s="47"/>
    </row>
    <row r="474">
      <c r="Y474" s="46"/>
      <c r="Z474" s="47"/>
      <c r="AA474" s="47"/>
    </row>
    <row r="475">
      <c r="Y475" s="46"/>
      <c r="Z475" s="47"/>
      <c r="AA475" s="47"/>
    </row>
    <row r="476">
      <c r="Y476" s="46"/>
      <c r="Z476" s="47"/>
      <c r="AA476" s="47"/>
    </row>
    <row r="477">
      <c r="Y477" s="46"/>
      <c r="Z477" s="47"/>
      <c r="AA477" s="47"/>
    </row>
    <row r="478">
      <c r="Y478" s="46"/>
      <c r="Z478" s="47"/>
      <c r="AA478" s="47"/>
    </row>
    <row r="479">
      <c r="Y479" s="46"/>
      <c r="Z479" s="47"/>
      <c r="AA479" s="47"/>
    </row>
    <row r="480">
      <c r="Y480" s="46"/>
      <c r="Z480" s="47"/>
      <c r="AA480" s="47"/>
    </row>
    <row r="481">
      <c r="Y481" s="46"/>
      <c r="Z481" s="47"/>
      <c r="AA481" s="47"/>
    </row>
    <row r="482">
      <c r="Y482" s="46"/>
      <c r="Z482" s="47"/>
      <c r="AA482" s="47"/>
    </row>
    <row r="483">
      <c r="Y483" s="46"/>
      <c r="Z483" s="47"/>
      <c r="AA483" s="47"/>
    </row>
    <row r="484">
      <c r="Y484" s="46"/>
      <c r="Z484" s="47"/>
      <c r="AA484" s="47"/>
    </row>
    <row r="485">
      <c r="Y485" s="46"/>
      <c r="Z485" s="47"/>
      <c r="AA485" s="47"/>
    </row>
    <row r="486">
      <c r="Y486" s="46"/>
      <c r="Z486" s="47"/>
      <c r="AA486" s="47"/>
    </row>
    <row r="487">
      <c r="Y487" s="46"/>
      <c r="Z487" s="47"/>
      <c r="AA487" s="47"/>
    </row>
    <row r="488">
      <c r="Y488" s="46"/>
      <c r="Z488" s="47"/>
      <c r="AA488" s="47"/>
    </row>
    <row r="489">
      <c r="Y489" s="46"/>
      <c r="Z489" s="47"/>
      <c r="AA489" s="47"/>
    </row>
    <row r="490">
      <c r="Y490" s="46"/>
      <c r="Z490" s="47"/>
      <c r="AA490" s="47"/>
    </row>
    <row r="491">
      <c r="Y491" s="46"/>
      <c r="Z491" s="47"/>
      <c r="AA491" s="47"/>
    </row>
    <row r="492">
      <c r="Y492" s="46"/>
      <c r="Z492" s="47"/>
      <c r="AA492" s="47"/>
    </row>
    <row r="493">
      <c r="Y493" s="46"/>
      <c r="Z493" s="47"/>
      <c r="AA493" s="47"/>
    </row>
    <row r="494">
      <c r="Y494" s="46"/>
      <c r="Z494" s="47"/>
      <c r="AA494" s="47"/>
    </row>
    <row r="495">
      <c r="Y495" s="46"/>
      <c r="Z495" s="47"/>
      <c r="AA495" s="47"/>
    </row>
    <row r="496">
      <c r="Y496" s="46"/>
      <c r="Z496" s="47"/>
      <c r="AA496" s="47"/>
    </row>
    <row r="497">
      <c r="Y497" s="46"/>
      <c r="Z497" s="47"/>
      <c r="AA497" s="47"/>
    </row>
    <row r="498">
      <c r="Y498" s="46"/>
      <c r="Z498" s="47"/>
      <c r="AA498" s="47"/>
    </row>
    <row r="499">
      <c r="Y499" s="46"/>
      <c r="Z499" s="47"/>
      <c r="AA499" s="47"/>
    </row>
    <row r="500">
      <c r="Y500" s="46"/>
      <c r="Z500" s="47"/>
      <c r="AA500" s="47"/>
    </row>
    <row r="501">
      <c r="Y501" s="46"/>
      <c r="Z501" s="47"/>
      <c r="AA501" s="47"/>
    </row>
    <row r="502">
      <c r="Y502" s="46"/>
      <c r="Z502" s="47"/>
      <c r="AA502" s="47"/>
    </row>
    <row r="503">
      <c r="Y503" s="46"/>
      <c r="Z503" s="47"/>
      <c r="AA503" s="47"/>
    </row>
    <row r="504">
      <c r="Y504" s="46"/>
      <c r="Z504" s="47"/>
      <c r="AA504" s="47"/>
    </row>
    <row r="505">
      <c r="Y505" s="46"/>
      <c r="Z505" s="47"/>
      <c r="AA505" s="47"/>
    </row>
    <row r="506">
      <c r="Y506" s="46"/>
      <c r="Z506" s="47"/>
      <c r="AA506" s="47"/>
    </row>
    <row r="507">
      <c r="Y507" s="46"/>
      <c r="Z507" s="47"/>
      <c r="AA507" s="47"/>
    </row>
    <row r="508">
      <c r="Y508" s="46"/>
      <c r="Z508" s="47"/>
      <c r="AA508" s="47"/>
    </row>
    <row r="509">
      <c r="Y509" s="46"/>
      <c r="Z509" s="47"/>
      <c r="AA509" s="47"/>
    </row>
    <row r="510">
      <c r="Y510" s="46"/>
      <c r="Z510" s="47"/>
      <c r="AA510" s="47"/>
    </row>
    <row r="511">
      <c r="Y511" s="46"/>
      <c r="Z511" s="47"/>
      <c r="AA511" s="47"/>
    </row>
    <row r="512">
      <c r="Y512" s="46"/>
      <c r="Z512" s="47"/>
      <c r="AA512" s="47"/>
    </row>
    <row r="513">
      <c r="Y513" s="46"/>
      <c r="Z513" s="47"/>
      <c r="AA513" s="47"/>
    </row>
    <row r="514">
      <c r="Y514" s="46"/>
      <c r="Z514" s="47"/>
      <c r="AA514" s="47"/>
    </row>
    <row r="515">
      <c r="Y515" s="46"/>
      <c r="Z515" s="47"/>
      <c r="AA515" s="47"/>
    </row>
    <row r="516">
      <c r="Y516" s="46"/>
      <c r="Z516" s="47"/>
      <c r="AA516" s="47"/>
    </row>
    <row r="517">
      <c r="Y517" s="46"/>
      <c r="Z517" s="47"/>
      <c r="AA517" s="47"/>
    </row>
    <row r="518">
      <c r="Y518" s="46"/>
      <c r="Z518" s="47"/>
      <c r="AA518" s="47"/>
    </row>
    <row r="519">
      <c r="Y519" s="46"/>
      <c r="Z519" s="47"/>
      <c r="AA519" s="47"/>
    </row>
    <row r="520">
      <c r="Y520" s="46"/>
      <c r="Z520" s="47"/>
      <c r="AA520" s="47"/>
    </row>
    <row r="521">
      <c r="Y521" s="46"/>
      <c r="Z521" s="47"/>
      <c r="AA521" s="47"/>
    </row>
    <row r="522">
      <c r="Y522" s="46"/>
      <c r="Z522" s="47"/>
      <c r="AA522" s="47"/>
    </row>
    <row r="523">
      <c r="Y523" s="46"/>
      <c r="Z523" s="47"/>
      <c r="AA523" s="47"/>
    </row>
    <row r="524">
      <c r="Y524" s="46"/>
      <c r="Z524" s="47"/>
      <c r="AA524" s="47"/>
    </row>
    <row r="525">
      <c r="Y525" s="46"/>
      <c r="Z525" s="47"/>
      <c r="AA525" s="47"/>
    </row>
    <row r="526">
      <c r="Y526" s="46"/>
      <c r="Z526" s="47"/>
      <c r="AA526" s="47"/>
    </row>
    <row r="527">
      <c r="Y527" s="46"/>
      <c r="Z527" s="47"/>
      <c r="AA527" s="47"/>
    </row>
    <row r="528">
      <c r="Y528" s="46"/>
      <c r="Z528" s="47"/>
      <c r="AA528" s="47"/>
    </row>
    <row r="529">
      <c r="Y529" s="46"/>
      <c r="Z529" s="47"/>
      <c r="AA529" s="47"/>
    </row>
    <row r="530">
      <c r="Y530" s="46"/>
      <c r="Z530" s="47"/>
      <c r="AA530" s="47"/>
    </row>
    <row r="531">
      <c r="Y531" s="46"/>
      <c r="Z531" s="47"/>
      <c r="AA531" s="47"/>
    </row>
    <row r="532">
      <c r="Y532" s="46"/>
      <c r="Z532" s="47"/>
      <c r="AA532" s="47"/>
    </row>
    <row r="533">
      <c r="Y533" s="46"/>
      <c r="Z533" s="47"/>
      <c r="AA533" s="47"/>
    </row>
    <row r="534">
      <c r="Y534" s="46"/>
      <c r="Z534" s="47"/>
      <c r="AA534" s="47"/>
    </row>
    <row r="535">
      <c r="Y535" s="46"/>
      <c r="Z535" s="47"/>
      <c r="AA535" s="47"/>
    </row>
    <row r="536">
      <c r="Y536" s="46"/>
      <c r="Z536" s="47"/>
      <c r="AA536" s="47"/>
    </row>
    <row r="537">
      <c r="Y537" s="46"/>
      <c r="Z537" s="47"/>
      <c r="AA537" s="47"/>
    </row>
    <row r="538">
      <c r="Y538" s="46"/>
      <c r="Z538" s="47"/>
      <c r="AA538" s="47"/>
    </row>
    <row r="539">
      <c r="Y539" s="46"/>
      <c r="Z539" s="47"/>
      <c r="AA539" s="47"/>
    </row>
    <row r="540">
      <c r="Y540" s="46"/>
      <c r="Z540" s="47"/>
      <c r="AA540" s="47"/>
    </row>
    <row r="541">
      <c r="Y541" s="46"/>
      <c r="Z541" s="47"/>
      <c r="AA541" s="47"/>
    </row>
    <row r="542">
      <c r="Y542" s="46"/>
      <c r="Z542" s="47"/>
      <c r="AA542" s="47"/>
    </row>
    <row r="543">
      <c r="Y543" s="46"/>
      <c r="Z543" s="47"/>
      <c r="AA543" s="47"/>
    </row>
    <row r="544">
      <c r="Y544" s="46"/>
      <c r="Z544" s="47"/>
      <c r="AA544" s="47"/>
    </row>
    <row r="545">
      <c r="Y545" s="46"/>
      <c r="Z545" s="47"/>
      <c r="AA545" s="47"/>
    </row>
    <row r="546">
      <c r="Y546" s="46"/>
      <c r="Z546" s="47"/>
      <c r="AA546" s="47"/>
    </row>
    <row r="547">
      <c r="Y547" s="46"/>
      <c r="Z547" s="47"/>
      <c r="AA547" s="47"/>
    </row>
    <row r="548">
      <c r="Y548" s="46"/>
      <c r="Z548" s="47"/>
      <c r="AA548" s="47"/>
    </row>
    <row r="549">
      <c r="Y549" s="46"/>
      <c r="Z549" s="47"/>
      <c r="AA549" s="47"/>
    </row>
    <row r="550">
      <c r="Y550" s="46"/>
      <c r="Z550" s="47"/>
      <c r="AA550" s="47"/>
    </row>
    <row r="551">
      <c r="Y551" s="46"/>
      <c r="Z551" s="47"/>
      <c r="AA551" s="47"/>
    </row>
    <row r="552">
      <c r="Y552" s="46"/>
      <c r="Z552" s="47"/>
      <c r="AA552" s="47"/>
    </row>
    <row r="553">
      <c r="Y553" s="46"/>
      <c r="Z553" s="47"/>
      <c r="AA553" s="47"/>
    </row>
    <row r="554">
      <c r="Y554" s="46"/>
      <c r="Z554" s="47"/>
      <c r="AA554" s="47"/>
    </row>
    <row r="555">
      <c r="Y555" s="46"/>
      <c r="Z555" s="47"/>
      <c r="AA555" s="47"/>
    </row>
    <row r="556">
      <c r="Y556" s="46"/>
      <c r="Z556" s="47"/>
      <c r="AA556" s="47"/>
    </row>
    <row r="557">
      <c r="Y557" s="46"/>
      <c r="Z557" s="47"/>
      <c r="AA557" s="47"/>
    </row>
    <row r="558">
      <c r="Y558" s="46"/>
      <c r="Z558" s="47"/>
      <c r="AA558" s="47"/>
    </row>
    <row r="559">
      <c r="Y559" s="46"/>
      <c r="Z559" s="47"/>
      <c r="AA559" s="47"/>
    </row>
    <row r="560">
      <c r="Y560" s="46"/>
      <c r="Z560" s="47"/>
      <c r="AA560" s="47"/>
    </row>
    <row r="561">
      <c r="Y561" s="46"/>
      <c r="Z561" s="47"/>
      <c r="AA561" s="47"/>
    </row>
    <row r="562">
      <c r="Y562" s="46"/>
      <c r="Z562" s="47"/>
      <c r="AA562" s="47"/>
    </row>
    <row r="563">
      <c r="Y563" s="46"/>
      <c r="Z563" s="47"/>
      <c r="AA563" s="47"/>
    </row>
    <row r="564">
      <c r="Y564" s="46"/>
      <c r="Z564" s="47"/>
      <c r="AA564" s="47"/>
    </row>
    <row r="565">
      <c r="Y565" s="46"/>
      <c r="Z565" s="47"/>
      <c r="AA565" s="47"/>
    </row>
    <row r="566">
      <c r="Y566" s="46"/>
      <c r="Z566" s="47"/>
      <c r="AA566" s="47"/>
    </row>
    <row r="567">
      <c r="Y567" s="46"/>
      <c r="Z567" s="47"/>
      <c r="AA567" s="47"/>
    </row>
    <row r="568">
      <c r="Y568" s="46"/>
      <c r="Z568" s="47"/>
      <c r="AA568" s="47"/>
    </row>
    <row r="569">
      <c r="Y569" s="46"/>
      <c r="Z569" s="47"/>
      <c r="AA569" s="47"/>
    </row>
    <row r="570">
      <c r="Y570" s="46"/>
      <c r="Z570" s="47"/>
      <c r="AA570" s="47"/>
    </row>
    <row r="571">
      <c r="Y571" s="46"/>
      <c r="Z571" s="47"/>
      <c r="AA571" s="47"/>
    </row>
    <row r="572">
      <c r="Y572" s="46"/>
      <c r="Z572" s="47"/>
      <c r="AA572" s="47"/>
    </row>
    <row r="573">
      <c r="Y573" s="46"/>
      <c r="Z573" s="47"/>
      <c r="AA573" s="47"/>
    </row>
    <row r="574">
      <c r="Y574" s="46"/>
      <c r="Z574" s="47"/>
      <c r="AA574" s="47"/>
    </row>
    <row r="575">
      <c r="Y575" s="46"/>
      <c r="Z575" s="47"/>
      <c r="AA575" s="47"/>
    </row>
    <row r="576">
      <c r="Y576" s="46"/>
      <c r="Z576" s="47"/>
      <c r="AA576" s="47"/>
    </row>
    <row r="577">
      <c r="Y577" s="46"/>
      <c r="Z577" s="47"/>
      <c r="AA577" s="47"/>
    </row>
    <row r="578">
      <c r="Y578" s="46"/>
      <c r="Z578" s="47"/>
      <c r="AA578" s="47"/>
    </row>
    <row r="579">
      <c r="Y579" s="46"/>
      <c r="Z579" s="47"/>
      <c r="AA579" s="47"/>
    </row>
    <row r="580">
      <c r="Y580" s="46"/>
      <c r="Z580" s="47"/>
      <c r="AA580" s="47"/>
    </row>
    <row r="581">
      <c r="Y581" s="46"/>
      <c r="Z581" s="47"/>
      <c r="AA581" s="47"/>
    </row>
    <row r="582">
      <c r="Y582" s="46"/>
      <c r="Z582" s="47"/>
      <c r="AA582" s="47"/>
    </row>
    <row r="583">
      <c r="Y583" s="46"/>
      <c r="Z583" s="47"/>
      <c r="AA583" s="47"/>
    </row>
    <row r="584">
      <c r="Y584" s="46"/>
      <c r="Z584" s="47"/>
      <c r="AA584" s="47"/>
    </row>
    <row r="585">
      <c r="Y585" s="46"/>
      <c r="Z585" s="47"/>
      <c r="AA585" s="47"/>
    </row>
    <row r="586">
      <c r="Y586" s="46"/>
      <c r="Z586" s="47"/>
      <c r="AA586" s="47"/>
    </row>
    <row r="587">
      <c r="Y587" s="46"/>
      <c r="Z587" s="47"/>
      <c r="AA587" s="47"/>
    </row>
    <row r="588">
      <c r="Y588" s="46"/>
      <c r="Z588" s="47"/>
      <c r="AA588" s="47"/>
    </row>
    <row r="589">
      <c r="Y589" s="46"/>
      <c r="Z589" s="47"/>
      <c r="AA589" s="47"/>
    </row>
    <row r="590">
      <c r="Y590" s="46"/>
      <c r="Z590" s="47"/>
      <c r="AA590" s="47"/>
    </row>
    <row r="591">
      <c r="Y591" s="46"/>
      <c r="Z591" s="47"/>
      <c r="AA591" s="47"/>
    </row>
    <row r="592">
      <c r="Y592" s="46"/>
      <c r="Z592" s="47"/>
      <c r="AA592" s="47"/>
    </row>
    <row r="593">
      <c r="Y593" s="46"/>
      <c r="Z593" s="47"/>
      <c r="AA593" s="47"/>
    </row>
    <row r="594">
      <c r="Y594" s="46"/>
      <c r="Z594" s="47"/>
      <c r="AA594" s="47"/>
    </row>
    <row r="595">
      <c r="Y595" s="46"/>
      <c r="Z595" s="47"/>
      <c r="AA595" s="47"/>
    </row>
    <row r="596">
      <c r="Y596" s="46"/>
      <c r="Z596" s="47"/>
      <c r="AA596" s="47"/>
    </row>
    <row r="597">
      <c r="Y597" s="46"/>
      <c r="Z597" s="47"/>
      <c r="AA597" s="47"/>
    </row>
    <row r="598">
      <c r="Y598" s="46"/>
      <c r="Z598" s="47"/>
      <c r="AA598" s="47"/>
    </row>
    <row r="599">
      <c r="Y599" s="46"/>
      <c r="Z599" s="47"/>
      <c r="AA599" s="47"/>
    </row>
    <row r="600">
      <c r="Y600" s="46"/>
      <c r="Z600" s="47"/>
      <c r="AA600" s="47"/>
    </row>
    <row r="601">
      <c r="Y601" s="46"/>
      <c r="Z601" s="47"/>
      <c r="AA601" s="47"/>
    </row>
    <row r="602">
      <c r="Y602" s="46"/>
      <c r="Z602" s="47"/>
      <c r="AA602" s="47"/>
    </row>
    <row r="603">
      <c r="Y603" s="46"/>
      <c r="Z603" s="47"/>
      <c r="AA603" s="47"/>
    </row>
    <row r="604">
      <c r="Y604" s="46"/>
      <c r="Z604" s="47"/>
      <c r="AA604" s="47"/>
    </row>
    <row r="605">
      <c r="Y605" s="46"/>
      <c r="Z605" s="47"/>
      <c r="AA605" s="47"/>
    </row>
    <row r="606">
      <c r="Y606" s="46"/>
      <c r="Z606" s="47"/>
      <c r="AA606" s="47"/>
    </row>
    <row r="607">
      <c r="Y607" s="46"/>
      <c r="Z607" s="47"/>
      <c r="AA607" s="47"/>
    </row>
    <row r="608">
      <c r="Y608" s="46"/>
      <c r="Z608" s="47"/>
      <c r="AA608" s="47"/>
    </row>
    <row r="609">
      <c r="Y609" s="46"/>
      <c r="Z609" s="47"/>
      <c r="AA609" s="47"/>
    </row>
    <row r="610">
      <c r="Y610" s="46"/>
      <c r="Z610" s="47"/>
      <c r="AA610" s="47"/>
    </row>
    <row r="611">
      <c r="Y611" s="46"/>
      <c r="Z611" s="47"/>
      <c r="AA611" s="47"/>
    </row>
    <row r="612">
      <c r="Y612" s="46"/>
      <c r="Z612" s="47"/>
      <c r="AA612" s="47"/>
    </row>
    <row r="613">
      <c r="Y613" s="46"/>
      <c r="Z613" s="47"/>
      <c r="AA613" s="47"/>
    </row>
    <row r="614">
      <c r="Y614" s="46"/>
      <c r="Z614" s="47"/>
      <c r="AA614" s="47"/>
    </row>
    <row r="615">
      <c r="Y615" s="46"/>
      <c r="Z615" s="47"/>
      <c r="AA615" s="47"/>
    </row>
    <row r="616">
      <c r="Y616" s="46"/>
      <c r="Z616" s="47"/>
      <c r="AA616" s="47"/>
    </row>
    <row r="617">
      <c r="Y617" s="46"/>
      <c r="Z617" s="47"/>
      <c r="AA617" s="47"/>
    </row>
    <row r="618">
      <c r="Y618" s="46"/>
      <c r="Z618" s="47"/>
      <c r="AA618" s="47"/>
    </row>
    <row r="619">
      <c r="Y619" s="46"/>
      <c r="Z619" s="47"/>
      <c r="AA619" s="47"/>
    </row>
    <row r="620">
      <c r="Y620" s="46"/>
      <c r="Z620" s="47"/>
      <c r="AA620" s="47"/>
    </row>
    <row r="621">
      <c r="Y621" s="46"/>
      <c r="Z621" s="47"/>
      <c r="AA621" s="47"/>
    </row>
    <row r="622">
      <c r="Y622" s="46"/>
      <c r="Z622" s="47"/>
      <c r="AA622" s="47"/>
    </row>
    <row r="623">
      <c r="Y623" s="46"/>
      <c r="Z623" s="47"/>
      <c r="AA623" s="47"/>
    </row>
    <row r="624">
      <c r="Y624" s="46"/>
      <c r="Z624" s="47"/>
      <c r="AA624" s="47"/>
    </row>
    <row r="625">
      <c r="Y625" s="46"/>
      <c r="Z625" s="47"/>
      <c r="AA625" s="47"/>
    </row>
    <row r="626">
      <c r="Y626" s="46"/>
      <c r="Z626" s="47"/>
      <c r="AA626" s="47"/>
    </row>
    <row r="627">
      <c r="Y627" s="46"/>
      <c r="Z627" s="47"/>
      <c r="AA627" s="47"/>
    </row>
    <row r="628">
      <c r="Y628" s="46"/>
      <c r="Z628" s="47"/>
      <c r="AA628" s="47"/>
    </row>
    <row r="629">
      <c r="Y629" s="46"/>
      <c r="Z629" s="47"/>
      <c r="AA629" s="47"/>
    </row>
    <row r="630">
      <c r="Y630" s="46"/>
      <c r="Z630" s="47"/>
      <c r="AA630" s="47"/>
    </row>
    <row r="631">
      <c r="Y631" s="46"/>
      <c r="Z631" s="47"/>
      <c r="AA631" s="47"/>
    </row>
    <row r="632">
      <c r="Y632" s="46"/>
      <c r="Z632" s="47"/>
      <c r="AA632" s="47"/>
    </row>
    <row r="633">
      <c r="Y633" s="46"/>
      <c r="Z633" s="47"/>
      <c r="AA633" s="47"/>
    </row>
    <row r="634">
      <c r="Y634" s="46"/>
      <c r="Z634" s="47"/>
      <c r="AA634" s="47"/>
    </row>
    <row r="635">
      <c r="Y635" s="46"/>
      <c r="Z635" s="47"/>
      <c r="AA635" s="47"/>
    </row>
    <row r="636">
      <c r="Y636" s="46"/>
      <c r="Z636" s="47"/>
      <c r="AA636" s="47"/>
    </row>
    <row r="637">
      <c r="Y637" s="46"/>
      <c r="Z637" s="47"/>
      <c r="AA637" s="47"/>
    </row>
    <row r="638">
      <c r="Y638" s="46"/>
      <c r="Z638" s="47"/>
      <c r="AA638" s="47"/>
    </row>
    <row r="639">
      <c r="Y639" s="46"/>
      <c r="Z639" s="47"/>
      <c r="AA639" s="47"/>
    </row>
    <row r="640">
      <c r="Y640" s="46"/>
      <c r="Z640" s="47"/>
      <c r="AA640" s="47"/>
    </row>
    <row r="641">
      <c r="Y641" s="46"/>
      <c r="Z641" s="47"/>
      <c r="AA641" s="47"/>
    </row>
    <row r="642">
      <c r="Y642" s="46"/>
      <c r="Z642" s="47"/>
      <c r="AA642" s="47"/>
    </row>
    <row r="643">
      <c r="Y643" s="46"/>
      <c r="Z643" s="47"/>
      <c r="AA643" s="47"/>
    </row>
    <row r="644">
      <c r="Y644" s="46"/>
      <c r="Z644" s="47"/>
      <c r="AA644" s="47"/>
    </row>
    <row r="645">
      <c r="Y645" s="46"/>
      <c r="Z645" s="47"/>
      <c r="AA645" s="47"/>
    </row>
    <row r="646">
      <c r="Y646" s="46"/>
      <c r="Z646" s="47"/>
      <c r="AA646" s="47"/>
    </row>
    <row r="647">
      <c r="Y647" s="46"/>
      <c r="Z647" s="47"/>
      <c r="AA647" s="47"/>
    </row>
    <row r="648">
      <c r="Y648" s="46"/>
      <c r="Z648" s="47"/>
      <c r="AA648" s="47"/>
    </row>
    <row r="649">
      <c r="Y649" s="46"/>
      <c r="Z649" s="47"/>
      <c r="AA649" s="47"/>
    </row>
    <row r="650">
      <c r="Y650" s="46"/>
      <c r="Z650" s="47"/>
      <c r="AA650" s="47"/>
    </row>
    <row r="651">
      <c r="Y651" s="46"/>
      <c r="Z651" s="47"/>
      <c r="AA651" s="47"/>
    </row>
    <row r="652">
      <c r="Y652" s="46"/>
      <c r="Z652" s="47"/>
      <c r="AA652" s="47"/>
    </row>
    <row r="653">
      <c r="Y653" s="46"/>
      <c r="Z653" s="47"/>
      <c r="AA653" s="47"/>
    </row>
    <row r="654">
      <c r="Y654" s="46"/>
      <c r="Z654" s="47"/>
      <c r="AA654" s="47"/>
    </row>
    <row r="655">
      <c r="Y655" s="46"/>
      <c r="Z655" s="47"/>
      <c r="AA655" s="47"/>
    </row>
    <row r="656">
      <c r="Y656" s="46"/>
      <c r="Z656" s="47"/>
      <c r="AA656" s="47"/>
    </row>
    <row r="657">
      <c r="Y657" s="46"/>
      <c r="Z657" s="47"/>
      <c r="AA657" s="47"/>
    </row>
    <row r="658">
      <c r="Y658" s="46"/>
      <c r="Z658" s="47"/>
      <c r="AA658" s="47"/>
    </row>
    <row r="659">
      <c r="Y659" s="46"/>
      <c r="Z659" s="47"/>
      <c r="AA659" s="47"/>
    </row>
    <row r="660">
      <c r="Y660" s="46"/>
      <c r="Z660" s="47"/>
      <c r="AA660" s="47"/>
    </row>
    <row r="661">
      <c r="Y661" s="46"/>
      <c r="Z661" s="47"/>
      <c r="AA661" s="47"/>
    </row>
    <row r="662">
      <c r="Y662" s="46"/>
      <c r="Z662" s="47"/>
      <c r="AA662" s="47"/>
    </row>
    <row r="663">
      <c r="Y663" s="46"/>
      <c r="Z663" s="47"/>
      <c r="AA663" s="47"/>
    </row>
    <row r="664">
      <c r="Y664" s="46"/>
      <c r="Z664" s="47"/>
      <c r="AA664" s="47"/>
    </row>
    <row r="665">
      <c r="Y665" s="46"/>
      <c r="Z665" s="47"/>
      <c r="AA665" s="47"/>
    </row>
    <row r="666">
      <c r="Y666" s="46"/>
      <c r="Z666" s="47"/>
      <c r="AA666" s="47"/>
    </row>
    <row r="667">
      <c r="Y667" s="46"/>
      <c r="Z667" s="47"/>
      <c r="AA667" s="47"/>
    </row>
    <row r="668">
      <c r="Y668" s="46"/>
      <c r="Z668" s="47"/>
      <c r="AA668" s="47"/>
    </row>
    <row r="669">
      <c r="Y669" s="46"/>
      <c r="Z669" s="47"/>
      <c r="AA669" s="47"/>
    </row>
    <row r="670">
      <c r="Y670" s="46"/>
      <c r="Z670" s="47"/>
      <c r="AA670" s="47"/>
    </row>
    <row r="671">
      <c r="Y671" s="46"/>
      <c r="Z671" s="47"/>
      <c r="AA671" s="47"/>
    </row>
    <row r="672">
      <c r="Y672" s="46"/>
      <c r="Z672" s="47"/>
      <c r="AA672" s="47"/>
    </row>
    <row r="673">
      <c r="Y673" s="46"/>
      <c r="Z673" s="47"/>
      <c r="AA673" s="47"/>
    </row>
    <row r="674">
      <c r="Y674" s="46"/>
      <c r="Z674" s="47"/>
      <c r="AA674" s="47"/>
    </row>
    <row r="675">
      <c r="Y675" s="46"/>
      <c r="Z675" s="47"/>
      <c r="AA675" s="47"/>
    </row>
    <row r="676">
      <c r="Y676" s="46"/>
      <c r="Z676" s="47"/>
      <c r="AA676" s="47"/>
    </row>
    <row r="677">
      <c r="Y677" s="46"/>
      <c r="Z677" s="47"/>
      <c r="AA677" s="47"/>
    </row>
    <row r="678">
      <c r="Y678" s="46"/>
      <c r="Z678" s="47"/>
      <c r="AA678" s="47"/>
    </row>
    <row r="679">
      <c r="Y679" s="46"/>
      <c r="Z679" s="47"/>
      <c r="AA679" s="47"/>
    </row>
    <row r="680">
      <c r="Y680" s="46"/>
      <c r="Z680" s="47"/>
      <c r="AA680" s="47"/>
    </row>
    <row r="681">
      <c r="Y681" s="46"/>
      <c r="Z681" s="47"/>
      <c r="AA681" s="47"/>
    </row>
    <row r="682">
      <c r="Y682" s="46"/>
      <c r="Z682" s="47"/>
      <c r="AA682" s="47"/>
    </row>
    <row r="683">
      <c r="Y683" s="46"/>
      <c r="Z683" s="47"/>
      <c r="AA683" s="47"/>
    </row>
    <row r="684">
      <c r="Y684" s="46"/>
      <c r="Z684" s="47"/>
      <c r="AA684" s="47"/>
    </row>
    <row r="685">
      <c r="Y685" s="46"/>
      <c r="Z685" s="47"/>
      <c r="AA685" s="47"/>
    </row>
    <row r="686">
      <c r="Y686" s="46"/>
      <c r="Z686" s="47"/>
      <c r="AA686" s="47"/>
    </row>
    <row r="687">
      <c r="Y687" s="46"/>
      <c r="Z687" s="47"/>
      <c r="AA687" s="47"/>
    </row>
    <row r="688">
      <c r="Y688" s="46"/>
      <c r="Z688" s="47"/>
      <c r="AA688" s="47"/>
    </row>
    <row r="689">
      <c r="Y689" s="46"/>
      <c r="Z689" s="47"/>
      <c r="AA689" s="47"/>
    </row>
    <row r="690">
      <c r="Y690" s="46"/>
      <c r="Z690" s="47"/>
      <c r="AA690" s="47"/>
    </row>
    <row r="691">
      <c r="Y691" s="46"/>
      <c r="Z691" s="47"/>
      <c r="AA691" s="47"/>
    </row>
    <row r="692">
      <c r="Y692" s="46"/>
      <c r="Z692" s="47"/>
      <c r="AA692" s="47"/>
    </row>
    <row r="693">
      <c r="Y693" s="46"/>
      <c r="Z693" s="47"/>
      <c r="AA693" s="47"/>
    </row>
    <row r="694">
      <c r="Y694" s="46"/>
      <c r="Z694" s="47"/>
      <c r="AA694" s="47"/>
    </row>
    <row r="695">
      <c r="Y695" s="46"/>
      <c r="Z695" s="47"/>
      <c r="AA695" s="47"/>
    </row>
    <row r="696">
      <c r="Y696" s="46"/>
      <c r="Z696" s="47"/>
      <c r="AA696" s="47"/>
    </row>
    <row r="697">
      <c r="Y697" s="46"/>
      <c r="Z697" s="47"/>
      <c r="AA697" s="47"/>
    </row>
    <row r="698">
      <c r="Y698" s="46"/>
      <c r="Z698" s="47"/>
      <c r="AA698" s="47"/>
    </row>
    <row r="699">
      <c r="Y699" s="46"/>
      <c r="Z699" s="47"/>
      <c r="AA699" s="47"/>
    </row>
    <row r="700">
      <c r="Y700" s="46"/>
      <c r="Z700" s="47"/>
      <c r="AA700" s="47"/>
    </row>
    <row r="701">
      <c r="Y701" s="46"/>
      <c r="Z701" s="47"/>
      <c r="AA701" s="47"/>
    </row>
    <row r="702">
      <c r="Y702" s="46"/>
      <c r="Z702" s="47"/>
      <c r="AA702" s="47"/>
    </row>
    <row r="703">
      <c r="Y703" s="46"/>
      <c r="Z703" s="47"/>
      <c r="AA703" s="47"/>
    </row>
    <row r="704">
      <c r="Y704" s="46"/>
      <c r="Z704" s="47"/>
      <c r="AA704" s="47"/>
    </row>
    <row r="705">
      <c r="Y705" s="46"/>
      <c r="Z705" s="47"/>
      <c r="AA705" s="47"/>
    </row>
    <row r="706">
      <c r="Y706" s="46"/>
      <c r="Z706" s="47"/>
      <c r="AA706" s="47"/>
    </row>
    <row r="707">
      <c r="Y707" s="46"/>
      <c r="Z707" s="47"/>
      <c r="AA707" s="47"/>
    </row>
    <row r="708">
      <c r="Y708" s="46"/>
      <c r="Z708" s="47"/>
      <c r="AA708" s="47"/>
    </row>
    <row r="709">
      <c r="Y709" s="46"/>
      <c r="Z709" s="47"/>
      <c r="AA709" s="47"/>
    </row>
    <row r="710">
      <c r="Y710" s="46"/>
      <c r="Z710" s="47"/>
      <c r="AA710" s="47"/>
    </row>
    <row r="711">
      <c r="Y711" s="46"/>
      <c r="Z711" s="47"/>
      <c r="AA711" s="47"/>
    </row>
    <row r="712">
      <c r="Y712" s="46"/>
      <c r="Z712" s="47"/>
      <c r="AA712" s="47"/>
    </row>
    <row r="713">
      <c r="Y713" s="46"/>
      <c r="Z713" s="47"/>
      <c r="AA713" s="47"/>
    </row>
    <row r="714">
      <c r="Y714" s="46"/>
      <c r="Z714" s="47"/>
      <c r="AA714" s="47"/>
    </row>
    <row r="715">
      <c r="Y715" s="46"/>
      <c r="Z715" s="47"/>
      <c r="AA715" s="47"/>
    </row>
    <row r="716">
      <c r="Y716" s="46"/>
      <c r="Z716" s="47"/>
      <c r="AA716" s="47"/>
    </row>
    <row r="717">
      <c r="Y717" s="46"/>
      <c r="Z717" s="47"/>
      <c r="AA717" s="47"/>
    </row>
    <row r="718">
      <c r="Y718" s="46"/>
      <c r="Z718" s="47"/>
      <c r="AA718" s="47"/>
    </row>
    <row r="719">
      <c r="Y719" s="46"/>
      <c r="Z719" s="47"/>
      <c r="AA719" s="47"/>
    </row>
    <row r="720">
      <c r="Y720" s="46"/>
      <c r="Z720" s="47"/>
      <c r="AA720" s="47"/>
    </row>
    <row r="721">
      <c r="Y721" s="46"/>
      <c r="Z721" s="47"/>
      <c r="AA721" s="47"/>
    </row>
    <row r="722">
      <c r="Y722" s="46"/>
      <c r="Z722" s="47"/>
      <c r="AA722" s="47"/>
    </row>
    <row r="723">
      <c r="Y723" s="46"/>
      <c r="Z723" s="47"/>
      <c r="AA723" s="47"/>
    </row>
    <row r="724">
      <c r="Y724" s="46"/>
      <c r="Z724" s="47"/>
      <c r="AA724" s="47"/>
    </row>
    <row r="725">
      <c r="Y725" s="46"/>
      <c r="Z725" s="47"/>
      <c r="AA725" s="47"/>
    </row>
    <row r="726">
      <c r="Y726" s="46"/>
      <c r="Z726" s="47"/>
      <c r="AA726" s="47"/>
    </row>
    <row r="727">
      <c r="Y727" s="46"/>
      <c r="Z727" s="47"/>
      <c r="AA727" s="47"/>
    </row>
    <row r="728">
      <c r="Y728" s="46"/>
      <c r="Z728" s="47"/>
      <c r="AA728" s="47"/>
    </row>
    <row r="729">
      <c r="Y729" s="46"/>
      <c r="Z729" s="47"/>
      <c r="AA729" s="47"/>
    </row>
    <row r="730">
      <c r="Y730" s="46"/>
      <c r="Z730" s="47"/>
      <c r="AA730" s="47"/>
    </row>
    <row r="731">
      <c r="Y731" s="46"/>
      <c r="Z731" s="47"/>
      <c r="AA731" s="47"/>
    </row>
    <row r="732">
      <c r="Y732" s="46"/>
      <c r="Z732" s="47"/>
      <c r="AA732" s="47"/>
    </row>
    <row r="733">
      <c r="Y733" s="46"/>
      <c r="Z733" s="47"/>
      <c r="AA733" s="47"/>
    </row>
    <row r="734">
      <c r="Y734" s="46"/>
      <c r="Z734" s="47"/>
      <c r="AA734" s="47"/>
    </row>
    <row r="735">
      <c r="Y735" s="46"/>
      <c r="Z735" s="47"/>
      <c r="AA735" s="47"/>
    </row>
    <row r="736">
      <c r="Y736" s="46"/>
      <c r="Z736" s="47"/>
      <c r="AA736" s="47"/>
    </row>
    <row r="737">
      <c r="Y737" s="46"/>
      <c r="Z737" s="47"/>
      <c r="AA737" s="47"/>
    </row>
    <row r="738">
      <c r="Y738" s="46"/>
      <c r="Z738" s="47"/>
      <c r="AA738" s="47"/>
    </row>
    <row r="739">
      <c r="Y739" s="46"/>
      <c r="Z739" s="47"/>
      <c r="AA739" s="47"/>
    </row>
    <row r="740">
      <c r="Y740" s="46"/>
      <c r="Z740" s="47"/>
      <c r="AA740" s="47"/>
    </row>
    <row r="741">
      <c r="Y741" s="46"/>
      <c r="Z741" s="47"/>
      <c r="AA741" s="47"/>
    </row>
    <row r="742">
      <c r="Y742" s="46"/>
      <c r="Z742" s="47"/>
      <c r="AA742" s="47"/>
    </row>
    <row r="743">
      <c r="Y743" s="46"/>
      <c r="Z743" s="47"/>
      <c r="AA743" s="47"/>
    </row>
    <row r="744">
      <c r="Y744" s="46"/>
      <c r="Z744" s="47"/>
      <c r="AA744" s="47"/>
    </row>
    <row r="745">
      <c r="Y745" s="46"/>
      <c r="Z745" s="47"/>
      <c r="AA745" s="47"/>
    </row>
    <row r="746">
      <c r="Y746" s="46"/>
      <c r="Z746" s="47"/>
      <c r="AA746" s="47"/>
    </row>
    <row r="747">
      <c r="Y747" s="46"/>
      <c r="Z747" s="47"/>
      <c r="AA747" s="47"/>
    </row>
    <row r="748">
      <c r="Y748" s="46"/>
      <c r="Z748" s="47"/>
      <c r="AA748" s="47"/>
    </row>
    <row r="749">
      <c r="Y749" s="46"/>
      <c r="Z749" s="47"/>
      <c r="AA749" s="47"/>
    </row>
    <row r="750">
      <c r="Y750" s="46"/>
      <c r="Z750" s="47"/>
      <c r="AA750" s="47"/>
    </row>
    <row r="751">
      <c r="Y751" s="46"/>
      <c r="Z751" s="47"/>
      <c r="AA751" s="47"/>
    </row>
    <row r="752">
      <c r="Y752" s="46"/>
      <c r="Z752" s="47"/>
      <c r="AA752" s="47"/>
    </row>
    <row r="753">
      <c r="Y753" s="46"/>
      <c r="Z753" s="47"/>
      <c r="AA753" s="47"/>
    </row>
    <row r="754">
      <c r="Y754" s="46"/>
      <c r="Z754" s="47"/>
      <c r="AA754" s="47"/>
    </row>
    <row r="755">
      <c r="Y755" s="46"/>
      <c r="Z755" s="47"/>
      <c r="AA755" s="47"/>
    </row>
    <row r="756">
      <c r="Y756" s="46"/>
      <c r="Z756" s="47"/>
      <c r="AA756" s="47"/>
    </row>
    <row r="757">
      <c r="Y757" s="46"/>
      <c r="Z757" s="47"/>
      <c r="AA757" s="47"/>
    </row>
    <row r="758">
      <c r="Y758" s="46"/>
      <c r="Z758" s="47"/>
      <c r="AA758" s="47"/>
    </row>
    <row r="759">
      <c r="Y759" s="46"/>
      <c r="Z759" s="47"/>
      <c r="AA759" s="47"/>
    </row>
    <row r="760">
      <c r="Y760" s="46"/>
      <c r="Z760" s="47"/>
      <c r="AA760" s="47"/>
    </row>
    <row r="761">
      <c r="Y761" s="46"/>
      <c r="Z761" s="47"/>
      <c r="AA761" s="47"/>
    </row>
    <row r="762">
      <c r="Y762" s="46"/>
      <c r="Z762" s="47"/>
      <c r="AA762" s="47"/>
    </row>
    <row r="763">
      <c r="Y763" s="46"/>
      <c r="Z763" s="47"/>
      <c r="AA763" s="47"/>
    </row>
    <row r="764">
      <c r="Y764" s="46"/>
      <c r="Z764" s="47"/>
      <c r="AA764" s="47"/>
    </row>
    <row r="765">
      <c r="Y765" s="46"/>
      <c r="Z765" s="47"/>
      <c r="AA765" s="47"/>
    </row>
    <row r="766">
      <c r="Y766" s="46"/>
      <c r="Z766" s="47"/>
      <c r="AA766" s="47"/>
    </row>
    <row r="767">
      <c r="Y767" s="46"/>
      <c r="Z767" s="47"/>
      <c r="AA767" s="47"/>
    </row>
    <row r="768">
      <c r="Y768" s="46"/>
      <c r="Z768" s="47"/>
      <c r="AA768" s="47"/>
    </row>
    <row r="769">
      <c r="Y769" s="46"/>
      <c r="Z769" s="47"/>
      <c r="AA769" s="47"/>
    </row>
    <row r="770">
      <c r="Y770" s="46"/>
      <c r="Z770" s="47"/>
      <c r="AA770" s="47"/>
    </row>
    <row r="771">
      <c r="Y771" s="46"/>
      <c r="Z771" s="47"/>
      <c r="AA771" s="47"/>
    </row>
    <row r="772">
      <c r="Y772" s="46"/>
      <c r="Z772" s="47"/>
      <c r="AA772" s="47"/>
    </row>
    <row r="773">
      <c r="Y773" s="46"/>
      <c r="Z773" s="47"/>
      <c r="AA773" s="47"/>
    </row>
    <row r="774">
      <c r="Y774" s="46"/>
      <c r="Z774" s="47"/>
      <c r="AA774" s="47"/>
    </row>
    <row r="775">
      <c r="Y775" s="46"/>
      <c r="Z775" s="47"/>
      <c r="AA775" s="47"/>
    </row>
    <row r="776">
      <c r="Y776" s="46"/>
      <c r="Z776" s="47"/>
      <c r="AA776" s="47"/>
    </row>
    <row r="777">
      <c r="Y777" s="46"/>
      <c r="Z777" s="47"/>
      <c r="AA777" s="47"/>
    </row>
    <row r="778">
      <c r="Y778" s="46"/>
      <c r="Z778" s="47"/>
      <c r="AA778" s="47"/>
    </row>
    <row r="779">
      <c r="Y779" s="46"/>
      <c r="Z779" s="47"/>
      <c r="AA779" s="47"/>
    </row>
    <row r="780">
      <c r="Y780" s="46"/>
      <c r="Z780" s="47"/>
      <c r="AA780" s="47"/>
    </row>
    <row r="781">
      <c r="Y781" s="46"/>
      <c r="Z781" s="47"/>
      <c r="AA781" s="47"/>
    </row>
    <row r="782">
      <c r="Y782" s="46"/>
      <c r="Z782" s="47"/>
      <c r="AA782" s="47"/>
    </row>
    <row r="783">
      <c r="Y783" s="46"/>
      <c r="Z783" s="47"/>
      <c r="AA783" s="47"/>
    </row>
    <row r="784">
      <c r="Y784" s="46"/>
      <c r="Z784" s="47"/>
      <c r="AA784" s="47"/>
    </row>
    <row r="785">
      <c r="Y785" s="46"/>
      <c r="Z785" s="47"/>
      <c r="AA785" s="47"/>
    </row>
    <row r="786">
      <c r="Y786" s="46"/>
      <c r="Z786" s="47"/>
      <c r="AA786" s="47"/>
    </row>
    <row r="787">
      <c r="Y787" s="46"/>
      <c r="Z787" s="47"/>
      <c r="AA787" s="47"/>
    </row>
    <row r="788">
      <c r="Y788" s="46"/>
      <c r="Z788" s="47"/>
      <c r="AA788" s="47"/>
    </row>
    <row r="789">
      <c r="Y789" s="46"/>
      <c r="Z789" s="47"/>
      <c r="AA789" s="47"/>
    </row>
    <row r="790">
      <c r="Y790" s="46"/>
      <c r="Z790" s="47"/>
      <c r="AA790" s="47"/>
    </row>
    <row r="791">
      <c r="Y791" s="46"/>
      <c r="Z791" s="47"/>
      <c r="AA791" s="47"/>
    </row>
    <row r="792">
      <c r="Y792" s="46"/>
      <c r="Z792" s="47"/>
      <c r="AA792" s="47"/>
    </row>
    <row r="793">
      <c r="Y793" s="46"/>
      <c r="Z793" s="47"/>
      <c r="AA793" s="47"/>
    </row>
    <row r="794">
      <c r="Y794" s="46"/>
      <c r="Z794" s="47"/>
      <c r="AA794" s="47"/>
    </row>
    <row r="795">
      <c r="Y795" s="46"/>
      <c r="Z795" s="47"/>
      <c r="AA795" s="47"/>
    </row>
    <row r="796">
      <c r="Y796" s="46"/>
      <c r="Z796" s="47"/>
      <c r="AA796" s="47"/>
    </row>
    <row r="797">
      <c r="Y797" s="46"/>
      <c r="Z797" s="47"/>
      <c r="AA797" s="47"/>
    </row>
    <row r="798">
      <c r="Y798" s="46"/>
      <c r="Z798" s="47"/>
      <c r="AA798" s="47"/>
    </row>
    <row r="799">
      <c r="Y799" s="46"/>
      <c r="Z799" s="47"/>
      <c r="AA799" s="47"/>
    </row>
    <row r="800">
      <c r="Y800" s="46"/>
      <c r="Z800" s="47"/>
      <c r="AA800" s="47"/>
    </row>
    <row r="801">
      <c r="Y801" s="46"/>
      <c r="Z801" s="47"/>
      <c r="AA801" s="47"/>
    </row>
    <row r="802">
      <c r="Y802" s="46"/>
      <c r="Z802" s="47"/>
      <c r="AA802" s="47"/>
    </row>
    <row r="803">
      <c r="Y803" s="46"/>
      <c r="Z803" s="47"/>
      <c r="AA803" s="47"/>
    </row>
    <row r="804">
      <c r="Y804" s="46"/>
      <c r="Z804" s="47"/>
      <c r="AA804" s="47"/>
    </row>
    <row r="805">
      <c r="Y805" s="46"/>
      <c r="Z805" s="47"/>
      <c r="AA805" s="47"/>
    </row>
    <row r="806">
      <c r="Y806" s="46"/>
      <c r="Z806" s="47"/>
      <c r="AA806" s="47"/>
    </row>
    <row r="807">
      <c r="Y807" s="46"/>
      <c r="Z807" s="47"/>
      <c r="AA807" s="47"/>
    </row>
    <row r="808">
      <c r="Y808" s="46"/>
      <c r="Z808" s="47"/>
      <c r="AA808" s="47"/>
    </row>
    <row r="809">
      <c r="Y809" s="46"/>
      <c r="Z809" s="47"/>
      <c r="AA809" s="47"/>
    </row>
    <row r="810">
      <c r="Y810" s="46"/>
      <c r="Z810" s="47"/>
      <c r="AA810" s="47"/>
    </row>
    <row r="811">
      <c r="Y811" s="46"/>
      <c r="Z811" s="47"/>
      <c r="AA811" s="47"/>
    </row>
    <row r="812">
      <c r="Y812" s="46"/>
      <c r="Z812" s="47"/>
      <c r="AA812" s="47"/>
    </row>
    <row r="813">
      <c r="Y813" s="46"/>
      <c r="Z813" s="47"/>
      <c r="AA813" s="47"/>
    </row>
    <row r="814">
      <c r="Y814" s="46"/>
      <c r="Z814" s="47"/>
      <c r="AA814" s="47"/>
    </row>
    <row r="815">
      <c r="Y815" s="46"/>
      <c r="Z815" s="47"/>
      <c r="AA815" s="47"/>
    </row>
    <row r="816">
      <c r="Y816" s="46"/>
      <c r="Z816" s="47"/>
      <c r="AA816" s="47"/>
    </row>
    <row r="817">
      <c r="Y817" s="46"/>
      <c r="Z817" s="47"/>
      <c r="AA817" s="47"/>
    </row>
    <row r="818">
      <c r="Y818" s="46"/>
      <c r="Z818" s="47"/>
      <c r="AA818" s="47"/>
    </row>
    <row r="819">
      <c r="Y819" s="46"/>
      <c r="Z819" s="47"/>
      <c r="AA819" s="47"/>
    </row>
    <row r="820">
      <c r="Y820" s="46"/>
      <c r="Z820" s="47"/>
      <c r="AA820" s="47"/>
    </row>
    <row r="821">
      <c r="Y821" s="46"/>
      <c r="Z821" s="47"/>
      <c r="AA821" s="47"/>
    </row>
    <row r="822">
      <c r="Y822" s="46"/>
      <c r="Z822" s="47"/>
      <c r="AA822" s="47"/>
    </row>
    <row r="823">
      <c r="Y823" s="46"/>
      <c r="Z823" s="47"/>
      <c r="AA823" s="47"/>
    </row>
    <row r="824">
      <c r="Y824" s="46"/>
      <c r="Z824" s="47"/>
      <c r="AA824" s="47"/>
    </row>
    <row r="825">
      <c r="Y825" s="46"/>
      <c r="Z825" s="47"/>
      <c r="AA825" s="47"/>
    </row>
    <row r="826">
      <c r="Y826" s="46"/>
      <c r="Z826" s="47"/>
      <c r="AA826" s="47"/>
    </row>
    <row r="827">
      <c r="Y827" s="46"/>
      <c r="Z827" s="47"/>
      <c r="AA827" s="47"/>
    </row>
    <row r="828">
      <c r="Y828" s="46"/>
      <c r="Z828" s="47"/>
      <c r="AA828" s="47"/>
    </row>
    <row r="829">
      <c r="Y829" s="46"/>
      <c r="Z829" s="47"/>
      <c r="AA829" s="47"/>
    </row>
    <row r="830">
      <c r="Y830" s="46"/>
      <c r="Z830" s="47"/>
      <c r="AA830" s="47"/>
    </row>
    <row r="831">
      <c r="Y831" s="46"/>
      <c r="Z831" s="47"/>
      <c r="AA831" s="47"/>
    </row>
    <row r="832">
      <c r="Y832" s="46"/>
      <c r="Z832" s="47"/>
      <c r="AA832" s="47"/>
    </row>
    <row r="833">
      <c r="Y833" s="46"/>
      <c r="Z833" s="47"/>
      <c r="AA833" s="47"/>
    </row>
    <row r="834">
      <c r="Y834" s="46"/>
      <c r="Z834" s="47"/>
      <c r="AA834" s="47"/>
    </row>
    <row r="835">
      <c r="Y835" s="46"/>
      <c r="Z835" s="47"/>
      <c r="AA835" s="47"/>
    </row>
    <row r="836">
      <c r="Y836" s="46"/>
      <c r="Z836" s="47"/>
      <c r="AA836" s="47"/>
    </row>
    <row r="837">
      <c r="Y837" s="46"/>
      <c r="Z837" s="47"/>
      <c r="AA837" s="47"/>
    </row>
    <row r="838">
      <c r="Y838" s="46"/>
      <c r="Z838" s="47"/>
      <c r="AA838" s="47"/>
    </row>
    <row r="839">
      <c r="Y839" s="46"/>
      <c r="Z839" s="47"/>
      <c r="AA839" s="47"/>
    </row>
    <row r="840">
      <c r="Y840" s="46"/>
      <c r="Z840" s="47"/>
      <c r="AA840" s="47"/>
    </row>
    <row r="841">
      <c r="Y841" s="46"/>
      <c r="Z841" s="47"/>
      <c r="AA841" s="47"/>
    </row>
    <row r="842">
      <c r="Y842" s="46"/>
      <c r="Z842" s="47"/>
      <c r="AA842" s="47"/>
    </row>
    <row r="843">
      <c r="Y843" s="46"/>
      <c r="Z843" s="47"/>
      <c r="AA843" s="47"/>
    </row>
    <row r="844">
      <c r="Y844" s="46"/>
      <c r="Z844" s="47"/>
      <c r="AA844" s="47"/>
    </row>
    <row r="845">
      <c r="Y845" s="46"/>
      <c r="Z845" s="47"/>
      <c r="AA845" s="47"/>
    </row>
    <row r="846">
      <c r="Y846" s="46"/>
      <c r="Z846" s="47"/>
      <c r="AA846" s="47"/>
    </row>
    <row r="847">
      <c r="Y847" s="46"/>
      <c r="Z847" s="47"/>
      <c r="AA847" s="47"/>
    </row>
    <row r="848">
      <c r="Y848" s="46"/>
      <c r="Z848" s="47"/>
      <c r="AA848" s="47"/>
    </row>
    <row r="849">
      <c r="Y849" s="46"/>
      <c r="Z849" s="47"/>
      <c r="AA849" s="47"/>
    </row>
    <row r="850">
      <c r="Y850" s="46"/>
      <c r="Z850" s="47"/>
      <c r="AA850" s="47"/>
    </row>
    <row r="851">
      <c r="Y851" s="46"/>
      <c r="Z851" s="47"/>
      <c r="AA851" s="47"/>
    </row>
    <row r="852">
      <c r="Y852" s="46"/>
      <c r="Z852" s="47"/>
      <c r="AA852" s="47"/>
    </row>
    <row r="853">
      <c r="Y853" s="46"/>
      <c r="Z853" s="47"/>
      <c r="AA853" s="47"/>
    </row>
    <row r="854">
      <c r="Y854" s="46"/>
      <c r="Z854" s="47"/>
      <c r="AA854" s="47"/>
    </row>
    <row r="855">
      <c r="Y855" s="46"/>
      <c r="Z855" s="47"/>
      <c r="AA855" s="47"/>
    </row>
    <row r="856">
      <c r="Y856" s="46"/>
      <c r="Z856" s="47"/>
      <c r="AA856" s="47"/>
    </row>
    <row r="857">
      <c r="Y857" s="46"/>
      <c r="Z857" s="47"/>
      <c r="AA857" s="47"/>
    </row>
    <row r="858">
      <c r="Y858" s="46"/>
      <c r="Z858" s="47"/>
      <c r="AA858" s="47"/>
    </row>
    <row r="859">
      <c r="Y859" s="46"/>
      <c r="Z859" s="47"/>
      <c r="AA859" s="47"/>
    </row>
    <row r="860">
      <c r="Y860" s="46"/>
      <c r="Z860" s="47"/>
      <c r="AA860" s="47"/>
    </row>
    <row r="861">
      <c r="Y861" s="46"/>
      <c r="Z861" s="47"/>
      <c r="AA861" s="47"/>
    </row>
    <row r="862">
      <c r="Y862" s="46"/>
      <c r="Z862" s="47"/>
      <c r="AA862" s="47"/>
    </row>
    <row r="863">
      <c r="Y863" s="46"/>
      <c r="Z863" s="47"/>
      <c r="AA863" s="47"/>
    </row>
    <row r="864">
      <c r="Y864" s="46"/>
      <c r="Z864" s="47"/>
      <c r="AA864" s="47"/>
    </row>
    <row r="865">
      <c r="Y865" s="46"/>
      <c r="Z865" s="47"/>
      <c r="AA865" s="47"/>
    </row>
    <row r="866">
      <c r="Y866" s="46"/>
      <c r="Z866" s="47"/>
      <c r="AA866" s="47"/>
    </row>
    <row r="867">
      <c r="Y867" s="46"/>
      <c r="Z867" s="47"/>
      <c r="AA867" s="47"/>
    </row>
    <row r="868">
      <c r="Y868" s="46"/>
      <c r="Z868" s="47"/>
      <c r="AA868" s="47"/>
    </row>
    <row r="869">
      <c r="Y869" s="46"/>
      <c r="Z869" s="47"/>
      <c r="AA869" s="47"/>
    </row>
    <row r="870">
      <c r="Y870" s="46"/>
      <c r="Z870" s="47"/>
      <c r="AA870" s="47"/>
    </row>
    <row r="871">
      <c r="Y871" s="46"/>
      <c r="Z871" s="47"/>
      <c r="AA871" s="47"/>
    </row>
    <row r="872">
      <c r="Y872" s="46"/>
      <c r="Z872" s="47"/>
      <c r="AA872" s="47"/>
    </row>
    <row r="873">
      <c r="Y873" s="46"/>
      <c r="Z873" s="47"/>
      <c r="AA873" s="47"/>
    </row>
    <row r="874">
      <c r="Y874" s="46"/>
      <c r="Z874" s="47"/>
      <c r="AA874" s="47"/>
    </row>
    <row r="875">
      <c r="Y875" s="46"/>
      <c r="Z875" s="47"/>
      <c r="AA875" s="47"/>
    </row>
    <row r="876">
      <c r="Y876" s="46"/>
      <c r="Z876" s="47"/>
      <c r="AA876" s="47"/>
    </row>
    <row r="877">
      <c r="Y877" s="46"/>
      <c r="Z877" s="47"/>
      <c r="AA877" s="47"/>
    </row>
    <row r="878">
      <c r="Y878" s="46"/>
      <c r="Z878" s="47"/>
      <c r="AA878" s="47"/>
    </row>
    <row r="879">
      <c r="Y879" s="46"/>
      <c r="Z879" s="47"/>
      <c r="AA879" s="47"/>
    </row>
    <row r="880">
      <c r="Y880" s="46"/>
      <c r="Z880" s="47"/>
      <c r="AA880" s="47"/>
    </row>
    <row r="881">
      <c r="Y881" s="46"/>
      <c r="Z881" s="47"/>
      <c r="AA881" s="47"/>
    </row>
    <row r="882">
      <c r="Y882" s="46"/>
      <c r="Z882" s="47"/>
      <c r="AA882" s="47"/>
    </row>
    <row r="883">
      <c r="Y883" s="46"/>
      <c r="Z883" s="47"/>
      <c r="AA883" s="47"/>
    </row>
    <row r="884">
      <c r="Y884" s="46"/>
      <c r="Z884" s="47"/>
      <c r="AA884" s="47"/>
    </row>
    <row r="885">
      <c r="Y885" s="46"/>
      <c r="Z885" s="47"/>
      <c r="AA885" s="47"/>
    </row>
    <row r="886">
      <c r="Y886" s="46"/>
      <c r="Z886" s="47"/>
      <c r="AA886" s="47"/>
    </row>
    <row r="887">
      <c r="Y887" s="46"/>
      <c r="Z887" s="47"/>
      <c r="AA887" s="47"/>
    </row>
    <row r="888">
      <c r="Y888" s="46"/>
      <c r="Z888" s="47"/>
      <c r="AA888" s="47"/>
    </row>
    <row r="889">
      <c r="Y889" s="46"/>
      <c r="Z889" s="47"/>
      <c r="AA889" s="47"/>
    </row>
    <row r="890">
      <c r="Y890" s="46"/>
      <c r="Z890" s="47"/>
      <c r="AA890" s="47"/>
    </row>
    <row r="891">
      <c r="Y891" s="46"/>
      <c r="Z891" s="47"/>
      <c r="AA891" s="47"/>
    </row>
    <row r="892">
      <c r="Y892" s="46"/>
      <c r="Z892" s="47"/>
      <c r="AA892" s="47"/>
    </row>
    <row r="893">
      <c r="Y893" s="46"/>
      <c r="Z893" s="47"/>
      <c r="AA893" s="47"/>
    </row>
    <row r="894">
      <c r="Y894" s="46"/>
      <c r="Z894" s="47"/>
      <c r="AA894" s="47"/>
    </row>
    <row r="895">
      <c r="Y895" s="46"/>
      <c r="Z895" s="47"/>
      <c r="AA895" s="47"/>
    </row>
    <row r="896">
      <c r="Y896" s="46"/>
      <c r="Z896" s="47"/>
      <c r="AA896" s="47"/>
    </row>
    <row r="897">
      <c r="Y897" s="46"/>
      <c r="Z897" s="47"/>
      <c r="AA897" s="47"/>
    </row>
    <row r="898">
      <c r="Y898" s="46"/>
      <c r="Z898" s="47"/>
      <c r="AA898" s="47"/>
    </row>
    <row r="899">
      <c r="Y899" s="46"/>
      <c r="Z899" s="47"/>
      <c r="AA899" s="47"/>
    </row>
    <row r="900">
      <c r="Y900" s="46"/>
      <c r="Z900" s="47"/>
      <c r="AA900" s="47"/>
    </row>
    <row r="901">
      <c r="Y901" s="46"/>
      <c r="Z901" s="47"/>
      <c r="AA901" s="47"/>
    </row>
    <row r="902">
      <c r="Y902" s="46"/>
      <c r="Z902" s="47"/>
      <c r="AA902" s="47"/>
    </row>
    <row r="903">
      <c r="Y903" s="46"/>
      <c r="Z903" s="47"/>
      <c r="AA903" s="47"/>
    </row>
    <row r="904">
      <c r="Y904" s="46"/>
      <c r="Z904" s="47"/>
      <c r="AA904" s="47"/>
    </row>
    <row r="905">
      <c r="Y905" s="46"/>
      <c r="Z905" s="47"/>
      <c r="AA905" s="47"/>
    </row>
    <row r="906">
      <c r="Y906" s="46"/>
      <c r="Z906" s="47"/>
      <c r="AA906" s="47"/>
    </row>
    <row r="907">
      <c r="Y907" s="46"/>
      <c r="Z907" s="47"/>
      <c r="AA907" s="47"/>
    </row>
    <row r="908">
      <c r="Y908" s="46"/>
      <c r="Z908" s="47"/>
      <c r="AA908" s="47"/>
    </row>
    <row r="909">
      <c r="Y909" s="46"/>
      <c r="Z909" s="47"/>
      <c r="AA909" s="47"/>
    </row>
    <row r="910">
      <c r="Y910" s="46"/>
      <c r="Z910" s="47"/>
      <c r="AA910" s="47"/>
    </row>
    <row r="911">
      <c r="Y911" s="46"/>
      <c r="Z911" s="47"/>
      <c r="AA911" s="47"/>
    </row>
    <row r="912">
      <c r="Y912" s="46"/>
      <c r="Z912" s="47"/>
      <c r="AA912" s="47"/>
    </row>
    <row r="913">
      <c r="Y913" s="46"/>
      <c r="Z913" s="47"/>
      <c r="AA913" s="47"/>
    </row>
    <row r="914">
      <c r="Y914" s="46"/>
      <c r="Z914" s="47"/>
      <c r="AA914" s="47"/>
    </row>
    <row r="915">
      <c r="Y915" s="46"/>
      <c r="Z915" s="47"/>
      <c r="AA915" s="47"/>
    </row>
    <row r="916">
      <c r="Y916" s="46"/>
      <c r="Z916" s="47"/>
      <c r="AA916" s="47"/>
    </row>
    <row r="917">
      <c r="Y917" s="46"/>
      <c r="Z917" s="47"/>
      <c r="AA917" s="47"/>
    </row>
    <row r="918">
      <c r="Y918" s="46"/>
      <c r="Z918" s="47"/>
      <c r="AA918" s="47"/>
    </row>
    <row r="919">
      <c r="Y919" s="46"/>
      <c r="Z919" s="47"/>
      <c r="AA919" s="47"/>
    </row>
    <row r="920">
      <c r="Y920" s="46"/>
      <c r="Z920" s="47"/>
      <c r="AA920" s="47"/>
    </row>
    <row r="921">
      <c r="Y921" s="46"/>
      <c r="Z921" s="47"/>
      <c r="AA921" s="47"/>
    </row>
    <row r="922">
      <c r="Y922" s="46"/>
      <c r="Z922" s="47"/>
      <c r="AA922" s="47"/>
    </row>
    <row r="923">
      <c r="Y923" s="46"/>
      <c r="Z923" s="47"/>
      <c r="AA923" s="47"/>
    </row>
    <row r="924">
      <c r="Y924" s="46"/>
      <c r="Z924" s="47"/>
      <c r="AA924" s="47"/>
    </row>
    <row r="925">
      <c r="Y925" s="46"/>
      <c r="Z925" s="47"/>
      <c r="AA925" s="47"/>
    </row>
    <row r="926">
      <c r="Y926" s="46"/>
      <c r="Z926" s="47"/>
      <c r="AA926" s="47"/>
    </row>
    <row r="927">
      <c r="Y927" s="46"/>
      <c r="Z927" s="47"/>
      <c r="AA927" s="47"/>
    </row>
    <row r="928">
      <c r="Y928" s="46"/>
      <c r="Z928" s="47"/>
      <c r="AA928" s="47"/>
    </row>
    <row r="929">
      <c r="Y929" s="46"/>
      <c r="Z929" s="47"/>
      <c r="AA929" s="47"/>
    </row>
    <row r="930">
      <c r="Y930" s="46"/>
      <c r="Z930" s="47"/>
      <c r="AA930" s="47"/>
    </row>
    <row r="931">
      <c r="Y931" s="46"/>
      <c r="Z931" s="47"/>
      <c r="AA931" s="47"/>
    </row>
    <row r="932">
      <c r="Y932" s="46"/>
      <c r="Z932" s="47"/>
      <c r="AA932" s="47"/>
    </row>
    <row r="933">
      <c r="Y933" s="46"/>
      <c r="Z933" s="47"/>
      <c r="AA933" s="47"/>
    </row>
    <row r="934">
      <c r="Y934" s="46"/>
      <c r="Z934" s="47"/>
      <c r="AA934" s="47"/>
    </row>
    <row r="935">
      <c r="Y935" s="46"/>
      <c r="Z935" s="47"/>
      <c r="AA935" s="47"/>
    </row>
    <row r="936">
      <c r="Y936" s="46"/>
      <c r="Z936" s="47"/>
      <c r="AA936" s="47"/>
    </row>
    <row r="937">
      <c r="Y937" s="46"/>
      <c r="Z937" s="47"/>
      <c r="AA937" s="47"/>
    </row>
    <row r="938">
      <c r="Y938" s="46"/>
      <c r="Z938" s="47"/>
      <c r="AA938" s="47"/>
    </row>
    <row r="939">
      <c r="Y939" s="46"/>
      <c r="Z939" s="47"/>
      <c r="AA939" s="47"/>
    </row>
    <row r="940">
      <c r="Y940" s="46"/>
      <c r="Z940" s="47"/>
      <c r="AA940" s="47"/>
    </row>
    <row r="941">
      <c r="Y941" s="46"/>
      <c r="Z941" s="47"/>
      <c r="AA941" s="47"/>
    </row>
    <row r="942">
      <c r="Y942" s="46"/>
      <c r="Z942" s="47"/>
      <c r="AA942" s="47"/>
    </row>
    <row r="943">
      <c r="Y943" s="46"/>
      <c r="Z943" s="47"/>
      <c r="AA943" s="47"/>
    </row>
    <row r="944">
      <c r="Y944" s="46"/>
      <c r="Z944" s="47"/>
      <c r="AA944" s="47"/>
    </row>
    <row r="945">
      <c r="Y945" s="46"/>
      <c r="Z945" s="47"/>
      <c r="AA945" s="47"/>
    </row>
    <row r="946">
      <c r="Y946" s="46"/>
      <c r="Z946" s="47"/>
      <c r="AA946" s="47"/>
    </row>
    <row r="947">
      <c r="Y947" s="46"/>
      <c r="Z947" s="47"/>
      <c r="AA947" s="47"/>
    </row>
    <row r="948">
      <c r="Y948" s="46"/>
      <c r="Z948" s="47"/>
      <c r="AA948" s="47"/>
    </row>
    <row r="949">
      <c r="Y949" s="46"/>
      <c r="Z949" s="47"/>
      <c r="AA949" s="47"/>
    </row>
    <row r="950">
      <c r="Y950" s="46"/>
      <c r="Z950" s="47"/>
      <c r="AA950" s="47"/>
    </row>
    <row r="951">
      <c r="Y951" s="46"/>
      <c r="Z951" s="47"/>
      <c r="AA951" s="47"/>
    </row>
    <row r="952">
      <c r="Y952" s="46"/>
      <c r="Z952" s="47"/>
      <c r="AA952" s="47"/>
    </row>
    <row r="953">
      <c r="Y953" s="46"/>
      <c r="Z953" s="47"/>
      <c r="AA953" s="47"/>
    </row>
    <row r="954">
      <c r="Y954" s="46"/>
      <c r="Z954" s="47"/>
      <c r="AA954" s="47"/>
    </row>
    <row r="955">
      <c r="Y955" s="46"/>
      <c r="Z955" s="47"/>
      <c r="AA955" s="47"/>
    </row>
    <row r="956">
      <c r="Y956" s="46"/>
      <c r="Z956" s="47"/>
      <c r="AA956" s="47"/>
    </row>
    <row r="957">
      <c r="Y957" s="46"/>
      <c r="Z957" s="47"/>
      <c r="AA957" s="47"/>
    </row>
    <row r="958">
      <c r="Y958" s="46"/>
      <c r="Z958" s="47"/>
      <c r="AA958" s="47"/>
    </row>
    <row r="959">
      <c r="Y959" s="46"/>
      <c r="Z959" s="47"/>
      <c r="AA959" s="47"/>
    </row>
    <row r="960">
      <c r="Y960" s="46"/>
      <c r="Z960" s="47"/>
      <c r="AA960" s="47"/>
    </row>
    <row r="961">
      <c r="Y961" s="46"/>
      <c r="Z961" s="47"/>
      <c r="AA961" s="47"/>
    </row>
    <row r="962">
      <c r="Y962" s="46"/>
      <c r="Z962" s="47"/>
      <c r="AA962" s="47"/>
    </row>
    <row r="963">
      <c r="Y963" s="46"/>
      <c r="Z963" s="47"/>
      <c r="AA963" s="47"/>
    </row>
    <row r="964">
      <c r="Y964" s="46"/>
      <c r="Z964" s="47"/>
      <c r="AA964" s="47"/>
    </row>
    <row r="965">
      <c r="Y965" s="46"/>
      <c r="Z965" s="47"/>
      <c r="AA965" s="47"/>
    </row>
    <row r="966">
      <c r="Y966" s="46"/>
      <c r="Z966" s="47"/>
      <c r="AA966" s="47"/>
    </row>
    <row r="967">
      <c r="Y967" s="46"/>
      <c r="Z967" s="47"/>
      <c r="AA967" s="47"/>
    </row>
    <row r="968">
      <c r="Y968" s="46"/>
      <c r="Z968" s="47"/>
      <c r="AA968" s="47"/>
    </row>
    <row r="969">
      <c r="Y969" s="46"/>
      <c r="Z969" s="47"/>
      <c r="AA969" s="47"/>
    </row>
    <row r="970">
      <c r="Y970" s="46"/>
      <c r="Z970" s="47"/>
      <c r="AA970" s="47"/>
    </row>
    <row r="971">
      <c r="Y971" s="46"/>
      <c r="Z971" s="47"/>
      <c r="AA971" s="47"/>
    </row>
    <row r="972">
      <c r="Y972" s="46"/>
      <c r="Z972" s="47"/>
      <c r="AA972" s="47"/>
    </row>
    <row r="973">
      <c r="Y973" s="46"/>
      <c r="Z973" s="47"/>
      <c r="AA973" s="47"/>
    </row>
    <row r="974">
      <c r="Y974" s="46"/>
      <c r="Z974" s="47"/>
      <c r="AA974" s="47"/>
    </row>
    <row r="975">
      <c r="Y975" s="46"/>
      <c r="Z975" s="47"/>
      <c r="AA975" s="47"/>
    </row>
    <row r="976">
      <c r="Y976" s="46"/>
      <c r="Z976" s="47"/>
      <c r="AA976" s="47"/>
    </row>
    <row r="977">
      <c r="Y977" s="46"/>
      <c r="Z977" s="47"/>
      <c r="AA977" s="47"/>
    </row>
    <row r="978">
      <c r="Y978" s="46"/>
      <c r="Z978" s="47"/>
      <c r="AA978" s="47"/>
    </row>
    <row r="979">
      <c r="Y979" s="46"/>
      <c r="Z979" s="47"/>
      <c r="AA979" s="47"/>
    </row>
    <row r="980">
      <c r="Y980" s="46"/>
      <c r="Z980" s="47"/>
      <c r="AA980" s="47"/>
    </row>
    <row r="981">
      <c r="Y981" s="46"/>
      <c r="Z981" s="47"/>
      <c r="AA981" s="47"/>
    </row>
    <row r="982">
      <c r="Y982" s="46"/>
      <c r="Z982" s="47"/>
      <c r="AA982" s="47"/>
    </row>
    <row r="983">
      <c r="Y983" s="46"/>
      <c r="Z983" s="47"/>
      <c r="AA983" s="47"/>
    </row>
    <row r="984">
      <c r="Y984" s="46"/>
      <c r="Z984" s="47"/>
      <c r="AA984" s="47"/>
    </row>
    <row r="985">
      <c r="Y985" s="46"/>
      <c r="Z985" s="47"/>
      <c r="AA985" s="47"/>
    </row>
    <row r="986">
      <c r="Y986" s="46"/>
      <c r="Z986" s="47"/>
      <c r="AA986" s="47"/>
    </row>
    <row r="987">
      <c r="Y987" s="46"/>
      <c r="Z987" s="47"/>
      <c r="AA987" s="47"/>
    </row>
    <row r="988">
      <c r="Y988" s="46"/>
      <c r="Z988" s="47"/>
      <c r="AA988" s="47"/>
    </row>
    <row r="989">
      <c r="Y989" s="46"/>
      <c r="Z989" s="47"/>
      <c r="AA989" s="47"/>
    </row>
    <row r="990">
      <c r="Y990" s="46"/>
      <c r="Z990" s="47"/>
      <c r="AA990" s="47"/>
    </row>
    <row r="991">
      <c r="Y991" s="46"/>
      <c r="Z991" s="47"/>
      <c r="AA991" s="47"/>
    </row>
    <row r="992">
      <c r="Y992" s="46"/>
      <c r="Z992" s="47"/>
      <c r="AA992" s="47"/>
    </row>
    <row r="993">
      <c r="Y993" s="46"/>
      <c r="Z993" s="47"/>
      <c r="AA993" s="47"/>
    </row>
    <row r="994">
      <c r="Y994" s="46"/>
      <c r="Z994" s="47"/>
      <c r="AA994" s="47"/>
    </row>
    <row r="995">
      <c r="Y995" s="46"/>
      <c r="Z995" s="47"/>
      <c r="AA995" s="47"/>
    </row>
    <row r="996">
      <c r="Y996" s="46"/>
      <c r="Z996" s="47"/>
      <c r="AA996" s="47"/>
    </row>
    <row r="997">
      <c r="Y997" s="46"/>
      <c r="Z997" s="47"/>
      <c r="AA997" s="47"/>
    </row>
    <row r="998">
      <c r="Y998" s="46"/>
      <c r="Z998" s="47"/>
      <c r="AA998" s="47"/>
    </row>
    <row r="999">
      <c r="Y999" s="46"/>
      <c r="Z999" s="47"/>
      <c r="AA999" s="47"/>
    </row>
    <row r="1000">
      <c r="Y1000" s="46"/>
      <c r="Z1000" s="47"/>
      <c r="AA1000" s="47"/>
    </row>
    <row r="1001">
      <c r="Y1001" s="46"/>
      <c r="Z1001" s="47"/>
      <c r="AA1001" s="47"/>
    </row>
    <row r="1002">
      <c r="Y1002" s="46"/>
      <c r="Z1002" s="47"/>
      <c r="AA1002" s="47"/>
    </row>
    <row r="1003">
      <c r="Y1003" s="46"/>
      <c r="Z1003" s="47"/>
      <c r="AA1003" s="47"/>
    </row>
    <row r="1004">
      <c r="Y1004" s="46"/>
      <c r="Z1004" s="47"/>
      <c r="AA1004" s="47"/>
    </row>
    <row r="1005">
      <c r="Y1005" s="46"/>
      <c r="Z1005" s="47"/>
      <c r="AA1005" s="47"/>
    </row>
    <row r="1006">
      <c r="Y1006" s="46"/>
      <c r="Z1006" s="47"/>
      <c r="AA1006" s="47"/>
    </row>
    <row r="1007">
      <c r="Y1007" s="46"/>
      <c r="Z1007" s="47"/>
      <c r="AA1007" s="47"/>
    </row>
    <row r="1008">
      <c r="Y1008" s="46"/>
      <c r="Z1008" s="47"/>
      <c r="AA1008" s="47"/>
    </row>
    <row r="1009">
      <c r="Y1009" s="46"/>
      <c r="Z1009" s="47"/>
      <c r="AA1009" s="47"/>
    </row>
    <row r="1010">
      <c r="Y1010" s="46"/>
      <c r="Z1010" s="47"/>
      <c r="AA1010" s="47"/>
    </row>
  </sheetData>
  <mergeCells count="26">
    <mergeCell ref="S1:V1"/>
    <mergeCell ref="AE1:AI1"/>
    <mergeCell ref="F2:H2"/>
    <mergeCell ref="B3:D3"/>
    <mergeCell ref="J3:Q3"/>
    <mergeCell ref="S3:V3"/>
    <mergeCell ref="Y3:AC3"/>
    <mergeCell ref="AE13:AF13"/>
    <mergeCell ref="AE26:AF26"/>
    <mergeCell ref="AE27:AF27"/>
    <mergeCell ref="AE40:AF40"/>
    <mergeCell ref="AE41:AF41"/>
    <mergeCell ref="B31:D31"/>
    <mergeCell ref="J31:Q31"/>
    <mergeCell ref="S31:V31"/>
    <mergeCell ref="Y31:AC31"/>
    <mergeCell ref="AE31:AI31"/>
    <mergeCell ref="B44:D44"/>
    <mergeCell ref="G44:I44"/>
    <mergeCell ref="AE3:AI3"/>
    <mergeCell ref="AE12:AF12"/>
    <mergeCell ref="B17:D17"/>
    <mergeCell ref="J17:Q17"/>
    <mergeCell ref="S17:V17"/>
    <mergeCell ref="Y17:AC17"/>
    <mergeCell ref="AE17:AI17"/>
  </mergeCells>
  <conditionalFormatting sqref="D33:D35">
    <cfRule type="expression" dxfId="0" priority="1">
      <formula>E33:Z33 = MAX(33:33)</formula>
    </cfRule>
  </conditionalFormatting>
  <conditionalFormatting sqref="B10:D11 B24:D25 B38:D39 B51:D51 G51:I51">
    <cfRule type="expression" dxfId="0" priority="2">
      <formula>B10=MAX($B10:$D10)</formula>
    </cfRule>
  </conditionalFormatting>
  <conditionalFormatting sqref="J10:Q10 Y10:AC10 J24:Q24 Y24:AC24 J38:M38 P38 Y38:AC38">
    <cfRule type="expression" dxfId="0" priority="3">
      <formula>J10=MAX(J$10,J$24,J$38)</formula>
    </cfRule>
  </conditionalFormatting>
  <conditionalFormatting sqref="J11:Q11 Y11:AC11 J25:Q25 Y25:AC25 J39:M39 O39:P39 Y39:AC39">
    <cfRule type="expression" dxfId="0" priority="4">
      <formula>J11=MAX(J$11,J$25,J$39)</formula>
    </cfRule>
  </conditionalFormatting>
  <conditionalFormatting sqref="C14:D14 I26:Q26 Y26:AC26 C28:D28 J40:Q40 Y40:AC40 C41:D41 C54:D54 H54:I54">
    <cfRule type="cellIs" dxfId="1" priority="5" operator="between">
      <formula>0.05</formula>
      <formula>0.01</formula>
    </cfRule>
  </conditionalFormatting>
  <conditionalFormatting sqref="C14:D14 I26:Q26 Y26:AC26 C28:D28 J40:Q40 Y40:AC40 C41:D41 C54:D54 H54:I54">
    <cfRule type="cellIs" dxfId="2" priority="6" operator="lessThanOrEqual">
      <formula>0.01</formula>
    </cfRule>
  </conditionalFormatting>
  <hyperlinks>
    <hyperlink display="#WALSUI-cluster-3-freeze-20" location="#WALSUI-cluster-3-freeze-20!A1" ref="F4"/>
    <hyperlink display="#WALSUI-cluster-3-freeze-20-filtered" location="#WALSUI-cluster-3-freeze-20-fil!A1" ref="G4"/>
    <hyperlink display="#WALSUI-volume-10-burst-0.7-grouped" location="#WALSUI-volume-10-burst-0.7-gro!A1" ref="H4"/>
    <hyperlink display="#TURITA-cluster-3-freeze-20" location="#TURITA-cluster-3-freeze-20!A1" ref="F5"/>
    <hyperlink display="#TURITA-cluster-3-freeze-20-filtered" location="#TURITA-cluster-3-freeze-20-fil!A1" ref="G5"/>
    <hyperlink display="#TURITA-volume-15-burst-0.6-grouped" location="#TURITA-volume-15-burst-0.6-gro!A1" ref="H5"/>
    <hyperlink display="#SOUARS-cluster-3-freeze-20" location="#SOUARS-cluster-3-freeze-20!A1" ref="F6"/>
    <hyperlink display="#SOUARS-cluster-3-freeze-20-filtered" location="#SOUARS-cluster-3-freeze-20-fil!A1" ref="G6"/>
    <hyperlink display="#SOUARS-volume-15-burst-0.7-grouped" location="#SOUARS-volume-15-burst-0.7-gro!A1" ref="H6"/>
    <hyperlink display="#LEIMUN-cluster-10-freeze-5" location="#LEIMUN-cluster-10-freeze-5!A1" ref="F7"/>
    <hyperlink display="#LEIMUN-cluster-10-freeze-5-filtered" location="#LEIMUN-cluster-10-freeze-5-fil!A1" ref="G7"/>
    <hyperlink display="#LEIMUN-volume-30-burst-0.6-grouped" location="#LEIMUN-volume-30-burst-0.6-gro!A1" ref="H7"/>
    <hyperlink display="#SCOCZE-cluster-3-freeze-20" location="#SCOCZE-cluster-3-freeze-20!A1" ref="F8"/>
    <hyperlink display="#SCOCZE-cluster-3-freeze-20-filtered" location="#SCOCZE-cluster-3-freeze-20-fil!A1" ref="G8"/>
    <hyperlink display="#SCOCZE-volume-15-burst-0.7-grouped" location="#SCOCZE-volume-15-burst-0.7-gro!A1" ref="H8"/>
    <hyperlink display="#HUNFRA-cluster-5-freeze-20" location="#HUNFRA-cluster-5-freeze-20!A1" ref="F9"/>
    <hyperlink display="#HUNFRA-cluster-5-freeze-20-filtered" location="#HUNFRA-cluster-5-freeze-20-fil!A1" ref="G9"/>
    <hyperlink display="#HUNFRA-volume-15-burst-0.7-grouped" location="#HUNFRA-volume-15-burst-0.7-gro!A1" ref="H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v>
      </c>
      <c r="B1" s="1" t="s">
        <v>71</v>
      </c>
      <c r="C1" s="1" t="s">
        <v>56</v>
      </c>
      <c r="D1" s="1" t="s">
        <v>72</v>
      </c>
      <c r="E1" s="1" t="s">
        <v>73</v>
      </c>
      <c r="F1" s="1" t="s">
        <v>18</v>
      </c>
      <c r="G1" s="1" t="s">
        <v>9</v>
      </c>
      <c r="H1" s="1" t="s">
        <v>74</v>
      </c>
      <c r="I1" s="8"/>
      <c r="J1" s="1" t="s">
        <v>70</v>
      </c>
      <c r="K1" s="1" t="s">
        <v>71</v>
      </c>
      <c r="L1" s="1" t="s">
        <v>75</v>
      </c>
      <c r="M1" s="1" t="s">
        <v>14</v>
      </c>
      <c r="N1" s="1" t="s">
        <v>15</v>
      </c>
      <c r="O1" s="1" t="s">
        <v>17</v>
      </c>
      <c r="P1" s="1" t="s">
        <v>16</v>
      </c>
      <c r="Q1" s="8"/>
      <c r="R1" s="1" t="s">
        <v>70</v>
      </c>
      <c r="S1" s="1" t="s">
        <v>71</v>
      </c>
      <c r="T1" s="1" t="s">
        <v>76</v>
      </c>
      <c r="U1" s="1" t="s">
        <v>77</v>
      </c>
      <c r="V1" s="1" t="s">
        <v>78</v>
      </c>
      <c r="W1" s="1" t="s">
        <v>79</v>
      </c>
      <c r="X1" s="8"/>
      <c r="Y1" s="8"/>
      <c r="Z1" s="8"/>
    </row>
    <row r="2">
      <c r="A2" s="52" t="s">
        <v>27</v>
      </c>
      <c r="B2" s="40" t="s">
        <v>2</v>
      </c>
      <c r="C2" s="53">
        <f>VLOOKUP(A2,Summary!$A$45:$D$50,2,FALSE)</f>
        <v>35</v>
      </c>
      <c r="D2" s="53">
        <f>VLOOKUP(A2,Summary!$F$45:$I$50,2,FALSE)</f>
        <v>22</v>
      </c>
      <c r="E2" s="53" t="str">
        <f>C2 &amp; " (" &amp; D2 &amp; ")"</f>
        <v>35 (22)</v>
      </c>
      <c r="F2" s="14">
        <f>VLOOKUP(A2,Summary!$A$4:$D$9,2,FALSE)</f>
        <v>0.6285714286</v>
      </c>
      <c r="G2" s="14">
        <f>VLOOKUP($A2,Summary!$A$18:$D$23,2,FALSE)</f>
        <v>0.7222222222</v>
      </c>
      <c r="H2" s="14">
        <f>VLOOKUP($A2,Summary!$A$32:$D$37,2,FALSE)</f>
        <v>0.6721504113</v>
      </c>
      <c r="J2" s="52" t="s">
        <v>27</v>
      </c>
      <c r="K2" s="40" t="s">
        <v>2</v>
      </c>
      <c r="L2" s="14">
        <v>0.05714285714285714</v>
      </c>
      <c r="M2" s="14">
        <v>0.14285714285714285</v>
      </c>
      <c r="N2" s="14">
        <v>0.17142857142857143</v>
      </c>
      <c r="O2" s="14">
        <v>0.2857142857142857</v>
      </c>
      <c r="P2" s="14">
        <v>0.34285714285714286</v>
      </c>
      <c r="R2" s="52" t="s">
        <v>27</v>
      </c>
      <c r="S2" s="40" t="s">
        <v>2</v>
      </c>
      <c r="T2" s="14">
        <v>1.0</v>
      </c>
      <c r="U2" s="14">
        <v>0.6666666666666666</v>
      </c>
      <c r="V2" s="14">
        <v>0.5</v>
      </c>
      <c r="W2" s="14">
        <v>0.75</v>
      </c>
    </row>
    <row r="3">
      <c r="B3" s="40" t="s">
        <v>3</v>
      </c>
      <c r="C3" s="53">
        <f>VLOOKUP(A2,Summary!$A$45:$D$50,3,FALSE)</f>
        <v>20</v>
      </c>
      <c r="D3" s="53">
        <f>VLOOKUP(A2,Summary!$F$45:$I$50,3,FALSE)</f>
        <v>17</v>
      </c>
      <c r="E3" s="53" t="str">
        <f t="shared" ref="E3:E22" si="1">C3 &amp; " (" &amp; TEXT(D3, "#") &amp; ")"</f>
        <v>20 (17)</v>
      </c>
      <c r="F3" s="14">
        <f>VLOOKUP(A2,Summary!$A$4:$D$9,3,FALSE)</f>
        <v>0.85</v>
      </c>
      <c r="G3" s="14">
        <f>VLOOKUP($A2,Summary!$A$18:$D$23,3,FALSE)</f>
        <v>0.5555555556</v>
      </c>
      <c r="H3" s="14">
        <f>VLOOKUP($A2,Summary!$A$32:$D$37,3,FALSE)</f>
        <v>0.6719367589</v>
      </c>
      <c r="K3" s="40" t="s">
        <v>3</v>
      </c>
      <c r="L3" s="14">
        <v>0.0</v>
      </c>
      <c r="M3" s="14">
        <v>0.15</v>
      </c>
      <c r="N3" s="14">
        <v>0.0</v>
      </c>
      <c r="O3" s="14">
        <v>0.45</v>
      </c>
      <c r="P3" s="14">
        <v>0.4</v>
      </c>
      <c r="S3" s="40" t="s">
        <v>3</v>
      </c>
      <c r="T3" s="14">
        <v>1.0</v>
      </c>
      <c r="U3" s="14">
        <v>0.6666666666666666</v>
      </c>
      <c r="V3" s="14">
        <v>0.75</v>
      </c>
      <c r="W3" s="14">
        <v>0.25</v>
      </c>
    </row>
    <row r="4">
      <c r="B4" s="40" t="s">
        <v>4</v>
      </c>
      <c r="C4" s="53">
        <f>VLOOKUP(A2,Summary!$A$45:$D$50,4,FALSE)</f>
        <v>32</v>
      </c>
      <c r="D4" s="53">
        <f>VLOOKUP(A2,Summary!$F$45:$I$50,4,FALSE)</f>
        <v>24</v>
      </c>
      <c r="E4" s="53" t="str">
        <f t="shared" si="1"/>
        <v>32 (24)</v>
      </c>
      <c r="F4" s="14">
        <f>VLOOKUP(A2,Summary!$A$4:$D$9,4,FALSE)</f>
        <v>0.75</v>
      </c>
      <c r="G4" s="14">
        <f>VLOOKUP($A2,Summary!$A$18:$D$23,4,FALSE)</f>
        <v>0.6666666667</v>
      </c>
      <c r="H4" s="14">
        <f>VLOOKUP($A2,Summary!$A$32:$D$37,4,FALSE)</f>
        <v>0.7058823529</v>
      </c>
      <c r="K4" s="40" t="s">
        <v>4</v>
      </c>
      <c r="L4" s="14">
        <v>0.0</v>
      </c>
      <c r="M4" s="14">
        <v>0.0625</v>
      </c>
      <c r="N4" s="14">
        <v>0.1875</v>
      </c>
      <c r="O4" s="14">
        <v>0.40625</v>
      </c>
      <c r="P4" s="14">
        <v>0.34375</v>
      </c>
      <c r="S4" s="40" t="s">
        <v>4</v>
      </c>
      <c r="T4" s="14">
        <v>1.0</v>
      </c>
      <c r="U4" s="14">
        <v>1.0</v>
      </c>
      <c r="V4" s="14">
        <v>0.75</v>
      </c>
      <c r="W4" s="14">
        <v>0.375</v>
      </c>
    </row>
    <row r="5">
      <c r="A5" s="52" t="s">
        <v>31</v>
      </c>
      <c r="B5" s="40" t="s">
        <v>2</v>
      </c>
      <c r="C5" s="53">
        <f>VLOOKUP(A5,Summary!$A$45:$D$50,2,FALSE)</f>
        <v>49</v>
      </c>
      <c r="D5" s="53">
        <f>VLOOKUP(A5,Summary!$F$45:$I$50,2,FALSE)</f>
        <v>29</v>
      </c>
      <c r="E5" s="53" t="str">
        <f t="shared" si="1"/>
        <v>49 (29)</v>
      </c>
      <c r="F5" s="14">
        <f>VLOOKUP(A5,Summary!$A$4:$D$9,2,FALSE)</f>
        <v>0.5918367347</v>
      </c>
      <c r="G5" s="14">
        <f>VLOOKUP($A5,Summary!$A$18:$D$23,2,FALSE)</f>
        <v>0.4347826087</v>
      </c>
      <c r="H5" s="14">
        <f>VLOOKUP($A5,Summary!$A$32:$D$37,2,FALSE)</f>
        <v>0.5012964564</v>
      </c>
      <c r="J5" s="52" t="s">
        <v>31</v>
      </c>
      <c r="K5" s="40" t="s">
        <v>2</v>
      </c>
      <c r="L5" s="14">
        <v>0.04081632653061224</v>
      </c>
      <c r="M5" s="14">
        <v>0.24489795918367346</v>
      </c>
      <c r="N5" s="14">
        <v>0.12244897959183673</v>
      </c>
      <c r="O5" s="14">
        <v>0.3877551020408163</v>
      </c>
      <c r="P5" s="14">
        <v>0.20408163265306123</v>
      </c>
      <c r="R5" s="52" t="s">
        <v>31</v>
      </c>
      <c r="S5" s="40" t="s">
        <v>2</v>
      </c>
      <c r="T5" s="14">
        <v>0.3333333333333333</v>
      </c>
      <c r="U5" s="14">
        <v>0.42857142857142855</v>
      </c>
      <c r="V5" s="14">
        <v>0.5</v>
      </c>
      <c r="W5" s="14">
        <v>0.4444444444444444</v>
      </c>
    </row>
    <row r="6">
      <c r="B6" s="40" t="s">
        <v>3</v>
      </c>
      <c r="C6" s="53">
        <f>VLOOKUP(A5,Summary!$A$45:$D$50,3,FALSE)</f>
        <v>30</v>
      </c>
      <c r="D6" s="53">
        <f>VLOOKUP(A5,Summary!$F$45:$I$50,3,FALSE)</f>
        <v>23</v>
      </c>
      <c r="E6" s="53" t="str">
        <f t="shared" si="1"/>
        <v>30 (23)</v>
      </c>
      <c r="F6" s="14">
        <f>VLOOKUP(A5,Summary!$A$4:$D$9,3,FALSE)</f>
        <v>0.7666666667</v>
      </c>
      <c r="G6" s="14">
        <f>VLOOKUP($A5,Summary!$A$18:$D$23,3,FALSE)</f>
        <v>0.4347826087</v>
      </c>
      <c r="H6" s="14">
        <f>VLOOKUP($A5,Summary!$A$32:$D$37,3,FALSE)</f>
        <v>0.5548854041</v>
      </c>
      <c r="K6" s="40" t="s">
        <v>3</v>
      </c>
      <c r="L6" s="14">
        <v>0.06666666666666667</v>
      </c>
      <c r="M6" s="14">
        <v>0.06666666666666667</v>
      </c>
      <c r="N6" s="14">
        <v>0.1</v>
      </c>
      <c r="O6" s="14">
        <v>0.43333333333333335</v>
      </c>
      <c r="P6" s="14">
        <v>0.3333333333333333</v>
      </c>
      <c r="S6" s="40" t="s">
        <v>3</v>
      </c>
      <c r="T6" s="14">
        <v>1.0</v>
      </c>
      <c r="U6" s="14">
        <v>0.42857142857142855</v>
      </c>
      <c r="V6" s="14">
        <v>0.5</v>
      </c>
      <c r="W6" s="14">
        <v>0.2222222222222222</v>
      </c>
    </row>
    <row r="7">
      <c r="B7" s="40" t="s">
        <v>4</v>
      </c>
      <c r="C7" s="53">
        <f>VLOOKUP(A5,Summary!$A$45:$D$50,4,FALSE)</f>
        <v>35</v>
      </c>
      <c r="D7" s="53">
        <f>VLOOKUP(A5,Summary!$F$45:$I$50,4,FALSE)</f>
        <v>25</v>
      </c>
      <c r="E7" s="53" t="str">
        <f t="shared" si="1"/>
        <v>35 (25)</v>
      </c>
      <c r="F7" s="14">
        <f>VLOOKUP(A5,Summary!$A$4:$D$9,4,FALSE)</f>
        <v>0.7142857143</v>
      </c>
      <c r="G7" s="14">
        <f>VLOOKUP($A5,Summary!$A$18:$D$23,4,FALSE)</f>
        <v>0.4347826087</v>
      </c>
      <c r="H7" s="14">
        <f>VLOOKUP($A5,Summary!$A$32:$D$37,4,FALSE)</f>
        <v>0.5405405405</v>
      </c>
      <c r="K7" s="40" t="s">
        <v>4</v>
      </c>
      <c r="L7" s="14">
        <v>0.11428571428571428</v>
      </c>
      <c r="M7" s="14">
        <v>0.02857142857142857</v>
      </c>
      <c r="N7" s="14">
        <v>0.14285714285714285</v>
      </c>
      <c r="O7" s="14">
        <v>0.42857142857142855</v>
      </c>
      <c r="P7" s="14">
        <v>0.2857142857142857</v>
      </c>
      <c r="S7" s="40" t="s">
        <v>4</v>
      </c>
      <c r="T7" s="14">
        <v>1.0</v>
      </c>
      <c r="U7" s="14">
        <v>0.42857142857142855</v>
      </c>
      <c r="V7" s="14">
        <v>0.5</v>
      </c>
      <c r="W7" s="14">
        <v>0.2222222222222222</v>
      </c>
    </row>
    <row r="8">
      <c r="A8" s="1" t="s">
        <v>23</v>
      </c>
      <c r="B8" s="40" t="s">
        <v>2</v>
      </c>
      <c r="C8" s="53">
        <f>VLOOKUP(A8,Summary!$A$45:$D$50,2,FALSE)</f>
        <v>39</v>
      </c>
      <c r="D8" s="53">
        <f>VLOOKUP(A8,Summary!$F$45:$I$50,2,FALSE)</f>
        <v>20</v>
      </c>
      <c r="E8" s="53" t="str">
        <f t="shared" si="1"/>
        <v>39 (20)</v>
      </c>
      <c r="F8" s="14">
        <f>VLOOKUP(A8,Summary!$A$4:$D$9,2,FALSE)</f>
        <v>0.5128205128</v>
      </c>
      <c r="G8" s="14">
        <f>VLOOKUP($A8,Summary!$A$18:$D$23,2,FALSE)</f>
        <v>0.5555555556</v>
      </c>
      <c r="H8" s="14">
        <f>VLOOKUP($A8,Summary!$A$32:$D$37,2,FALSE)</f>
        <v>0.5333333333</v>
      </c>
      <c r="J8" s="1" t="s">
        <v>23</v>
      </c>
      <c r="K8" s="40" t="s">
        <v>2</v>
      </c>
      <c r="L8" s="14">
        <v>0.05128205128205128</v>
      </c>
      <c r="M8" s="14">
        <v>0.1282051282051282</v>
      </c>
      <c r="N8" s="14">
        <v>0.3076923076923077</v>
      </c>
      <c r="O8" s="14">
        <v>0.358974358974359</v>
      </c>
      <c r="P8" s="14">
        <v>0.15384615384615385</v>
      </c>
      <c r="R8" s="1" t="s">
        <v>23</v>
      </c>
      <c r="S8" s="40" t="s">
        <v>2</v>
      </c>
      <c r="T8" s="14">
        <v>1.0</v>
      </c>
      <c r="U8" s="14">
        <v>0.5</v>
      </c>
      <c r="V8" s="14">
        <v>0.5</v>
      </c>
      <c r="W8" s="14">
        <v>0.4444444444444444</v>
      </c>
    </row>
    <row r="9">
      <c r="B9" s="40" t="s">
        <v>3</v>
      </c>
      <c r="C9" s="53">
        <f>VLOOKUP(A8,Summary!$A$45:$D$50,3,FALSE)</f>
        <v>24</v>
      </c>
      <c r="D9" s="53">
        <f>VLOOKUP(A8,Summary!$F$45:$I$50,3,FALSE)</f>
        <v>18</v>
      </c>
      <c r="E9" s="53" t="str">
        <f t="shared" si="1"/>
        <v>24 (18)</v>
      </c>
      <c r="F9" s="14">
        <f>VLOOKUP(A8,Summary!$A$4:$D$9,3,FALSE)</f>
        <v>0.75</v>
      </c>
      <c r="G9" s="14">
        <f>VLOOKUP($A8,Summary!$A$18:$D$23,3,FALSE)</f>
        <v>0.4444444444</v>
      </c>
      <c r="H9" s="14">
        <f>VLOOKUP($A8,Summary!$A$32:$D$37,3,FALSE)</f>
        <v>0.5581395349</v>
      </c>
      <c r="K9" s="40" t="s">
        <v>3</v>
      </c>
      <c r="L9" s="14">
        <v>0.08333333333333333</v>
      </c>
      <c r="M9" s="14">
        <v>0.0</v>
      </c>
      <c r="N9" s="14">
        <v>0.16666666666666666</v>
      </c>
      <c r="O9" s="14">
        <v>0.5</v>
      </c>
      <c r="P9" s="14">
        <v>0.25</v>
      </c>
      <c r="S9" s="40" t="s">
        <v>3</v>
      </c>
      <c r="T9" s="14">
        <v>1.0</v>
      </c>
      <c r="U9" s="14">
        <v>0.5</v>
      </c>
      <c r="V9" s="14">
        <v>0.5</v>
      </c>
      <c r="W9" s="14">
        <v>0.2222222222222222</v>
      </c>
    </row>
    <row r="10">
      <c r="B10" s="40" t="s">
        <v>4</v>
      </c>
      <c r="C10" s="53">
        <f>VLOOKUP(A8,Summary!$A$45:$D$50,4,FALSE)</f>
        <v>36</v>
      </c>
      <c r="D10" s="53">
        <f>VLOOKUP(A8,Summary!$F$45:$I$50,4,FALSE)</f>
        <v>24</v>
      </c>
      <c r="E10" s="53" t="str">
        <f t="shared" si="1"/>
        <v>36 (24)</v>
      </c>
      <c r="F10" s="14">
        <f>VLOOKUP(A8,Summary!$A$4:$D$9,4,FALSE)</f>
        <v>0.6666666667</v>
      </c>
      <c r="G10" s="14">
        <f>VLOOKUP($A8,Summary!$A$18:$D$23,4,FALSE)</f>
        <v>0.5</v>
      </c>
      <c r="H10" s="14">
        <f>VLOOKUP($A8,Summary!$A$32:$D$37,4,FALSE)</f>
        <v>0.5714285714</v>
      </c>
      <c r="K10" s="40" t="s">
        <v>4</v>
      </c>
      <c r="L10" s="14">
        <v>0.0</v>
      </c>
      <c r="M10" s="14">
        <v>0.08333333333333333</v>
      </c>
      <c r="N10" s="14">
        <v>0.25</v>
      </c>
      <c r="O10" s="14">
        <v>0.4722222222222222</v>
      </c>
      <c r="P10" s="14">
        <v>0.19444444444444445</v>
      </c>
      <c r="S10" s="40" t="s">
        <v>4</v>
      </c>
      <c r="T10" s="14">
        <v>1.0</v>
      </c>
      <c r="U10" s="14">
        <v>0.0</v>
      </c>
      <c r="V10" s="14">
        <v>0.25</v>
      </c>
      <c r="W10" s="14">
        <v>0.5555555555555556</v>
      </c>
    </row>
    <row r="11">
      <c r="A11" s="1" t="s">
        <v>19</v>
      </c>
      <c r="B11" s="40" t="s">
        <v>2</v>
      </c>
      <c r="C11" s="53">
        <f>VLOOKUP(A11,Summary!$A$45:$D$50,2,FALSE)</f>
        <v>29</v>
      </c>
      <c r="D11" s="53">
        <f>VLOOKUP(A11,Summary!$F$45:$I$50,2,FALSE)</f>
        <v>19</v>
      </c>
      <c r="E11" s="53" t="str">
        <f t="shared" si="1"/>
        <v>29 (19)</v>
      </c>
      <c r="F11" s="14">
        <f>VLOOKUP(A11,Summary!$A$4:$D$9,2,FALSE)</f>
        <v>0.6551724138</v>
      </c>
      <c r="G11" s="14">
        <f>VLOOKUP($A11,Summary!$A$18:$D$23,2,FALSE)</f>
        <v>0.5714285714</v>
      </c>
      <c r="H11" s="14">
        <f>VLOOKUP($A11,Summary!$A$32:$D$37,2,FALSE)</f>
        <v>0.6104417671</v>
      </c>
      <c r="J11" s="1" t="s">
        <v>19</v>
      </c>
      <c r="K11" s="40" t="s">
        <v>2</v>
      </c>
      <c r="L11" s="14">
        <v>0.034482758620689655</v>
      </c>
      <c r="M11" s="14">
        <v>0.20689655172413793</v>
      </c>
      <c r="N11" s="14">
        <v>0.10344827586206896</v>
      </c>
      <c r="O11" s="14">
        <v>0.3793103448275862</v>
      </c>
      <c r="P11" s="14">
        <v>0.27586206896551724</v>
      </c>
      <c r="R11" s="1" t="s">
        <v>19</v>
      </c>
      <c r="S11" s="40" t="s">
        <v>2</v>
      </c>
      <c r="T11" s="14">
        <v>1.0</v>
      </c>
      <c r="U11" s="14">
        <v>0.6666666666666666</v>
      </c>
      <c r="V11" s="14">
        <v>0.25</v>
      </c>
      <c r="W11" s="14">
        <v>0.5</v>
      </c>
    </row>
    <row r="12">
      <c r="B12" s="40" t="s">
        <v>3</v>
      </c>
      <c r="C12" s="53">
        <f>VLOOKUP(A11,Summary!$A$45:$D$50,3,FALSE)</f>
        <v>19</v>
      </c>
      <c r="D12" s="53">
        <f>VLOOKUP(A11,Summary!$F$45:$I$50,3,FALSE)</f>
        <v>13</v>
      </c>
      <c r="E12" s="53" t="str">
        <f t="shared" si="1"/>
        <v>19 (13)</v>
      </c>
      <c r="F12" s="14">
        <f>VLOOKUP(A11,Summary!$A$4:$D$9,3,FALSE)</f>
        <v>0.6842105263</v>
      </c>
      <c r="G12" s="14">
        <f>VLOOKUP($A11,Summary!$A$18:$D$23,3,FALSE)</f>
        <v>0.5</v>
      </c>
      <c r="H12" s="14">
        <f>VLOOKUP($A11,Summary!$A$32:$D$37,3,FALSE)</f>
        <v>0.5777777778</v>
      </c>
      <c r="K12" s="40" t="s">
        <v>3</v>
      </c>
      <c r="L12" s="14">
        <v>0.15789473684210525</v>
      </c>
      <c r="M12" s="14">
        <v>0.05263157894736842</v>
      </c>
      <c r="N12" s="14">
        <v>0.10526315789473684</v>
      </c>
      <c r="O12" s="14">
        <v>0.3157894736842105</v>
      </c>
      <c r="P12" s="14">
        <v>0.3684210526315789</v>
      </c>
      <c r="S12" s="40" t="s">
        <v>3</v>
      </c>
      <c r="T12" s="14">
        <v>1.0</v>
      </c>
      <c r="U12" s="14">
        <v>0.6666666666666666</v>
      </c>
      <c r="V12" s="14">
        <v>0.0</v>
      </c>
      <c r="W12" s="14">
        <v>0.5</v>
      </c>
    </row>
    <row r="13">
      <c r="B13" s="40" t="s">
        <v>4</v>
      </c>
      <c r="C13" s="53">
        <f>VLOOKUP(A11,Summary!$A$45:$D$50,4,FALSE)</f>
        <v>39</v>
      </c>
      <c r="D13" s="53">
        <f>VLOOKUP(A11,Summary!$F$45:$I$50,4,FALSE)</f>
        <v>30</v>
      </c>
      <c r="E13" s="53" t="str">
        <f t="shared" si="1"/>
        <v>39 (30)</v>
      </c>
      <c r="F13" s="14">
        <f>VLOOKUP(A11,Summary!$A$4:$D$9,4,FALSE)</f>
        <v>0.7692307692</v>
      </c>
      <c r="G13" s="14">
        <f>VLOOKUP($A11,Summary!$A$18:$D$23,4,FALSE)</f>
        <v>0.5714285714</v>
      </c>
      <c r="H13" s="14">
        <f>VLOOKUP($A11,Summary!$A$32:$D$37,4,FALSE)</f>
        <v>0.6557377049</v>
      </c>
      <c r="K13" s="40" t="s">
        <v>4</v>
      </c>
      <c r="L13" s="14">
        <v>0.02564102564102564</v>
      </c>
      <c r="M13" s="14">
        <v>0.07692307692307693</v>
      </c>
      <c r="N13" s="14">
        <v>0.1282051282051282</v>
      </c>
      <c r="O13" s="14">
        <v>0.5641025641025641</v>
      </c>
      <c r="P13" s="14">
        <v>0.20512820512820512</v>
      </c>
      <c r="S13" s="40" t="s">
        <v>4</v>
      </c>
      <c r="T13" s="14">
        <v>0.6666666666666666</v>
      </c>
      <c r="U13" s="14">
        <v>0.6666666666666666</v>
      </c>
      <c r="V13" s="14">
        <v>0.5</v>
      </c>
      <c r="W13" s="14">
        <v>0.5</v>
      </c>
    </row>
    <row r="14">
      <c r="A14" s="52" t="s">
        <v>35</v>
      </c>
      <c r="B14" s="40" t="s">
        <v>2</v>
      </c>
      <c r="C14" s="53">
        <f>VLOOKUP(A14,Summary!$A$45:$D$50,2,FALSE)</f>
        <v>32</v>
      </c>
      <c r="D14" s="53">
        <f>VLOOKUP(A14,Summary!$F$45:$I$50,2,FALSE)</f>
        <v>14</v>
      </c>
      <c r="E14" s="53" t="str">
        <f t="shared" si="1"/>
        <v>32 (14)</v>
      </c>
      <c r="F14" s="14">
        <f>VLOOKUP(A14,Summary!$A$4:$D$9,2,FALSE)</f>
        <v>0.4375</v>
      </c>
      <c r="G14" s="14">
        <f>VLOOKUP($A14,Summary!$A$18:$D$23,2,FALSE)</f>
        <v>0.5625</v>
      </c>
      <c r="H14" s="14">
        <f>VLOOKUP($A14,Summary!$A$32:$D$37,2,FALSE)</f>
        <v>0.4921875</v>
      </c>
      <c r="J14" s="52" t="s">
        <v>35</v>
      </c>
      <c r="K14" s="40" t="s">
        <v>2</v>
      </c>
      <c r="L14" s="14">
        <v>0.125</v>
      </c>
      <c r="M14" s="14">
        <v>0.15625</v>
      </c>
      <c r="N14" s="14">
        <v>0.28125</v>
      </c>
      <c r="O14" s="14">
        <v>0.1875</v>
      </c>
      <c r="P14" s="14">
        <v>0.25</v>
      </c>
      <c r="R14" s="52" t="s">
        <v>35</v>
      </c>
      <c r="S14" s="40" t="s">
        <v>2</v>
      </c>
      <c r="T14" s="14">
        <v>1.0</v>
      </c>
      <c r="U14" s="14">
        <v>0.0</v>
      </c>
      <c r="V14" s="14">
        <v>0.25</v>
      </c>
      <c r="W14" s="14">
        <v>0.6</v>
      </c>
    </row>
    <row r="15">
      <c r="B15" s="40" t="s">
        <v>3</v>
      </c>
      <c r="C15" s="53">
        <f>VLOOKUP(A14,Summary!$A$45:$D$50,3,FALSE)</f>
        <v>20</v>
      </c>
      <c r="D15" s="53">
        <f>VLOOKUP(A14,Summary!$F$45:$I$50,3,FALSE)</f>
        <v>10</v>
      </c>
      <c r="E15" s="53" t="str">
        <f t="shared" si="1"/>
        <v>20 (10)</v>
      </c>
      <c r="F15" s="14">
        <f>VLOOKUP(A14,Summary!$A$4:$D$9,3,FALSE)</f>
        <v>0.5</v>
      </c>
      <c r="G15" s="14">
        <f>VLOOKUP($A14,Summary!$A$18:$D$23,3,FALSE)</f>
        <v>0.125</v>
      </c>
      <c r="H15" s="14">
        <f>VLOOKUP($A14,Summary!$A$32:$D$37,3,FALSE)</f>
        <v>0.2</v>
      </c>
      <c r="K15" s="40" t="s">
        <v>3</v>
      </c>
      <c r="L15" s="14">
        <v>0.25</v>
      </c>
      <c r="M15" s="14">
        <v>0.0</v>
      </c>
      <c r="N15" s="14">
        <v>0.25</v>
      </c>
      <c r="O15" s="14">
        <v>0.4</v>
      </c>
      <c r="P15" s="14">
        <v>0.1</v>
      </c>
      <c r="S15" s="40" t="s">
        <v>3</v>
      </c>
      <c r="T15" s="14">
        <v>1.0</v>
      </c>
      <c r="U15" s="14">
        <v>0.0</v>
      </c>
      <c r="V15" s="14">
        <v>0.0</v>
      </c>
      <c r="W15" s="14">
        <v>0.0</v>
      </c>
    </row>
    <row r="16">
      <c r="B16" s="40" t="s">
        <v>4</v>
      </c>
      <c r="C16" s="53">
        <f>VLOOKUP(A14,Summary!$A$45:$D$50,4,FALSE)</f>
        <v>24</v>
      </c>
      <c r="D16" s="53">
        <f>VLOOKUP(A14,Summary!$F$45:$I$50,4,FALSE)</f>
        <v>17</v>
      </c>
      <c r="E16" s="53" t="str">
        <f t="shared" si="1"/>
        <v>24 (17)</v>
      </c>
      <c r="F16" s="14">
        <f>VLOOKUP(A14,Summary!$A$4:$D$9,4,FALSE)</f>
        <v>0.7083333333</v>
      </c>
      <c r="G16" s="14">
        <f>VLOOKUP($A14,Summary!$A$18:$D$23,4,FALSE)</f>
        <v>0.625</v>
      </c>
      <c r="H16" s="14">
        <f>VLOOKUP($A14,Summary!$A$32:$D$37,4,FALSE)</f>
        <v>0.6640625</v>
      </c>
      <c r="K16" s="40" t="s">
        <v>4</v>
      </c>
      <c r="L16" s="14">
        <v>0.08333333333333333</v>
      </c>
      <c r="M16" s="14">
        <v>0.041666666666666664</v>
      </c>
      <c r="N16" s="14">
        <v>0.16666666666666666</v>
      </c>
      <c r="O16" s="14">
        <v>0.4166666666666667</v>
      </c>
      <c r="P16" s="14">
        <v>0.2916666666666667</v>
      </c>
      <c r="S16" s="40" t="s">
        <v>4</v>
      </c>
      <c r="T16" s="14">
        <v>1.0</v>
      </c>
      <c r="U16" s="14">
        <v>0.0</v>
      </c>
      <c r="V16" s="14">
        <v>0.5</v>
      </c>
      <c r="W16" s="14">
        <v>0.6</v>
      </c>
    </row>
    <row r="17">
      <c r="A17" s="52" t="s">
        <v>39</v>
      </c>
      <c r="B17" s="40" t="s">
        <v>2</v>
      </c>
      <c r="C17" s="53">
        <f>VLOOKUP(A17,Summary!$A$45:$D$50,2,FALSE)</f>
        <v>43</v>
      </c>
      <c r="D17" s="53">
        <f>VLOOKUP(A17,Summary!$F$45:$I$50,2,FALSE)</f>
        <v>18</v>
      </c>
      <c r="E17" s="53" t="str">
        <f t="shared" si="1"/>
        <v>43 (18)</v>
      </c>
      <c r="F17" s="14">
        <f>VLOOKUP(A17,Summary!$A$4:$D$9,2,FALSE)</f>
        <v>0.4186046512</v>
      </c>
      <c r="G17" s="14">
        <f>VLOOKUP($A17,Summary!$A$18:$D$23,2,FALSE)</f>
        <v>0.6</v>
      </c>
      <c r="H17" s="14">
        <f>VLOOKUP($A17,Summary!$A$32:$D$37,2,FALSE)</f>
        <v>0.4931506849</v>
      </c>
      <c r="J17" s="52" t="s">
        <v>39</v>
      </c>
      <c r="K17" s="40" t="s">
        <v>2</v>
      </c>
      <c r="L17" s="14">
        <v>0.046511627906976744</v>
      </c>
      <c r="M17" s="14">
        <v>0.27906976744186046</v>
      </c>
      <c r="N17" s="14">
        <v>0.2558139534883721</v>
      </c>
      <c r="O17" s="14">
        <v>0.23255813953488372</v>
      </c>
      <c r="P17" s="14">
        <v>0.18604651162790697</v>
      </c>
      <c r="R17" s="52" t="s">
        <v>39</v>
      </c>
      <c r="S17" s="40" t="s">
        <v>2</v>
      </c>
      <c r="T17" s="14">
        <v>1.0</v>
      </c>
      <c r="U17" s="14">
        <v>0.5</v>
      </c>
      <c r="V17" s="14">
        <v>0.25</v>
      </c>
      <c r="W17" s="14">
        <v>0.7142857142857143</v>
      </c>
    </row>
    <row r="18">
      <c r="B18" s="40" t="s">
        <v>3</v>
      </c>
      <c r="C18" s="53">
        <f>VLOOKUP(A17,Summary!$A$45:$D$50,3,FALSE)</f>
        <v>24</v>
      </c>
      <c r="D18" s="53">
        <f>VLOOKUP(A17,Summary!$F$45:$I$50,3,FALSE)</f>
        <v>17</v>
      </c>
      <c r="E18" s="53" t="str">
        <f t="shared" si="1"/>
        <v>24 (17)</v>
      </c>
      <c r="F18" s="14">
        <f>VLOOKUP(A17,Summary!$A$4:$D$9,3,FALSE)</f>
        <v>0.7083333333</v>
      </c>
      <c r="G18" s="14">
        <f>VLOOKUP($A17,Summary!$A$18:$D$23,3,FALSE)</f>
        <v>0.4666666667</v>
      </c>
      <c r="H18" s="14">
        <f>VLOOKUP($A17,Summary!$A$32:$D$37,3,FALSE)</f>
        <v>0.5626477541</v>
      </c>
      <c r="K18" s="40" t="s">
        <v>3</v>
      </c>
      <c r="L18" s="14">
        <v>0.041666666666666664</v>
      </c>
      <c r="M18" s="14">
        <v>0.125</v>
      </c>
      <c r="N18" s="14">
        <v>0.125</v>
      </c>
      <c r="O18" s="14">
        <v>0.4583333333333333</v>
      </c>
      <c r="P18" s="14">
        <v>0.25</v>
      </c>
      <c r="S18" s="40" t="s">
        <v>3</v>
      </c>
      <c r="T18" s="14">
        <v>1.0</v>
      </c>
      <c r="U18" s="14">
        <v>0.5</v>
      </c>
      <c r="V18" s="14">
        <v>0.0</v>
      </c>
      <c r="W18" s="14">
        <v>0.5714285714285714</v>
      </c>
    </row>
    <row r="19">
      <c r="B19" s="40" t="s">
        <v>4</v>
      </c>
      <c r="C19" s="53">
        <f>VLOOKUP(A17,Summary!$A$45:$D$50,4,FALSE)</f>
        <v>37</v>
      </c>
      <c r="D19" s="53">
        <f>VLOOKUP(A17,Summary!$F$45:$I$50,4,FALSE)</f>
        <v>25</v>
      </c>
      <c r="E19" s="53" t="str">
        <f t="shared" si="1"/>
        <v>37 (25)</v>
      </c>
      <c r="F19" s="14">
        <f>VLOOKUP(A17,Summary!$A$4:$D$9,4,FALSE)</f>
        <v>0.6756756757</v>
      </c>
      <c r="G19" s="14">
        <f>VLOOKUP($A17,Summary!$A$18:$D$23,4,FALSE)</f>
        <v>0.6</v>
      </c>
      <c r="H19" s="14">
        <f>VLOOKUP($A17,Summary!$A$32:$D$37,4,FALSE)</f>
        <v>0.6355932203</v>
      </c>
      <c r="K19" s="40" t="s">
        <v>4</v>
      </c>
      <c r="L19" s="14">
        <v>0.05405405405405406</v>
      </c>
      <c r="M19" s="14">
        <v>0.10810810810810811</v>
      </c>
      <c r="N19" s="14">
        <v>0.16216216216216217</v>
      </c>
      <c r="O19" s="14">
        <v>0.43243243243243246</v>
      </c>
      <c r="P19" s="14">
        <v>0.24324324324324326</v>
      </c>
      <c r="S19" s="40" t="s">
        <v>4</v>
      </c>
      <c r="T19" s="14">
        <v>1.0</v>
      </c>
      <c r="U19" s="14">
        <v>0.5</v>
      </c>
      <c r="V19" s="14">
        <v>0.5</v>
      </c>
      <c r="W19" s="14">
        <v>0.5714285714285714</v>
      </c>
    </row>
    <row r="20">
      <c r="A20" s="1" t="s">
        <v>80</v>
      </c>
      <c r="B20" s="40" t="s">
        <v>4</v>
      </c>
      <c r="C20" s="53">
        <f>VLOOKUP(A20,'Summary (micro)'!$A$29:$C$31,2,FALSE)</f>
        <v>21</v>
      </c>
      <c r="D20" s="41">
        <f>VLOOKUP(A20,'Summary (micro)'!$A$29:$C$31,3,FALSE)</f>
        <v>13</v>
      </c>
      <c r="E20" s="53" t="str">
        <f t="shared" si="1"/>
        <v>21 (13)</v>
      </c>
      <c r="F20" s="14">
        <f>VLOOKUP($A20,'Summary (micro)'!$A$4:$B$6,2,FALSE)</f>
        <v>0.619047619</v>
      </c>
      <c r="G20" s="14">
        <f>VLOOKUP($A20,'Summary (micro)'!$A$13:$B$15,2,FALSE)</f>
        <v>0.4583333333</v>
      </c>
      <c r="H20" s="14">
        <f>VLOOKUP($A20,'Summary (micro)'!$A$22:$B$24,2,FALSE)</f>
        <v>0.5267034991</v>
      </c>
      <c r="J20" s="1" t="s">
        <v>80</v>
      </c>
      <c r="K20" s="40" t="s">
        <v>4</v>
      </c>
      <c r="L20" s="14">
        <v>0.047619047619047616</v>
      </c>
      <c r="M20" s="14">
        <v>0.2857142857142857</v>
      </c>
      <c r="N20" s="14">
        <v>0.047619047619047616</v>
      </c>
      <c r="O20" s="14">
        <v>0.19047619047619047</v>
      </c>
      <c r="P20" s="14">
        <v>0.42857142857142855</v>
      </c>
      <c r="R20" s="1" t="s">
        <v>80</v>
      </c>
      <c r="S20" s="40" t="s">
        <v>4</v>
      </c>
      <c r="T20" s="14">
        <v>0.8</v>
      </c>
      <c r="U20" s="14">
        <v>0.0</v>
      </c>
      <c r="V20" s="14">
        <v>0.75</v>
      </c>
      <c r="W20" s="14">
        <v>0.4</v>
      </c>
    </row>
    <row r="21">
      <c r="A21" s="1" t="s">
        <v>81</v>
      </c>
      <c r="B21" s="40" t="s">
        <v>4</v>
      </c>
      <c r="C21" s="53">
        <f>VLOOKUP(A21,'Summary (micro)'!$A$29:$C$31,2,FALSE)</f>
        <v>32</v>
      </c>
      <c r="D21" s="41">
        <f>VLOOKUP(A21,'Summary (micro)'!$A$29:$C$31,3,FALSE)</f>
        <v>14</v>
      </c>
      <c r="E21" s="53" t="str">
        <f t="shared" si="1"/>
        <v>32 (14)</v>
      </c>
      <c r="F21" s="14">
        <f>VLOOKUP($A21,'Summary (micro)'!$A$4:$B$6,2,FALSE)</f>
        <v>0.4375</v>
      </c>
      <c r="G21" s="14">
        <f>VLOOKUP($A21,'Summary (micro)'!$A$13:$B$15,2,FALSE)</f>
        <v>0.375</v>
      </c>
      <c r="H21" s="14">
        <f>VLOOKUP($A21,'Summary (micro)'!$A$22:$B$24,2,FALSE)</f>
        <v>0.4038461538</v>
      </c>
      <c r="J21" s="1" t="s">
        <v>81</v>
      </c>
      <c r="K21" s="40" t="s">
        <v>4</v>
      </c>
      <c r="L21" s="14">
        <v>0.28125</v>
      </c>
      <c r="M21" s="14">
        <v>0.03125</v>
      </c>
      <c r="N21" s="14">
        <v>0.25</v>
      </c>
      <c r="O21" s="14">
        <v>0.25</v>
      </c>
      <c r="P21" s="14">
        <v>0.1875</v>
      </c>
      <c r="R21" s="1" t="s">
        <v>81</v>
      </c>
      <c r="S21" s="40" t="s">
        <v>4</v>
      </c>
      <c r="T21" s="14">
        <v>1.0</v>
      </c>
      <c r="U21" s="14">
        <v>0.0</v>
      </c>
      <c r="V21" s="14">
        <v>1.0</v>
      </c>
      <c r="W21" s="14">
        <v>0.125</v>
      </c>
    </row>
    <row r="22">
      <c r="A22" s="1" t="s">
        <v>82</v>
      </c>
      <c r="B22" s="40" t="s">
        <v>4</v>
      </c>
      <c r="C22" s="53">
        <f>VLOOKUP(A22,'Summary (micro)'!$A$29:$C$31,2,FALSE)</f>
        <v>29</v>
      </c>
      <c r="D22" s="41">
        <f>VLOOKUP(A22,'Summary (micro)'!$A$29:$C$31,3,FALSE)</f>
        <v>21</v>
      </c>
      <c r="E22" s="53" t="str">
        <f t="shared" si="1"/>
        <v>29 (21)</v>
      </c>
      <c r="F22" s="14">
        <f>VLOOKUP($A22,'Summary (micro)'!$A$4:$B$6,2,FALSE)</f>
        <v>0.724137931</v>
      </c>
      <c r="G22" s="14">
        <f>VLOOKUP($A22,'Summary (micro)'!$A$13:$B$15,2,FALSE)</f>
        <v>0.5769230769</v>
      </c>
      <c r="H22" s="14">
        <f>VLOOKUP($A22,'Summary (micro)'!$A$22:$B$24,2,FALSE)</f>
        <v>0.6422018349</v>
      </c>
      <c r="J22" s="1" t="s">
        <v>82</v>
      </c>
      <c r="K22" s="40" t="s">
        <v>4</v>
      </c>
      <c r="L22" s="14">
        <v>0.06896551724137931</v>
      </c>
      <c r="M22" s="14">
        <v>0.06896551724137931</v>
      </c>
      <c r="N22" s="14">
        <v>0.13793103448275862</v>
      </c>
      <c r="O22" s="14">
        <v>0.2413793103448276</v>
      </c>
      <c r="P22" s="14">
        <v>0.4827586206896552</v>
      </c>
      <c r="R22" s="1" t="s">
        <v>82</v>
      </c>
      <c r="S22" s="40" t="s">
        <v>4</v>
      </c>
      <c r="T22" s="14">
        <v>1.0</v>
      </c>
      <c r="U22" s="14">
        <v>0.4444444444444444</v>
      </c>
      <c r="V22" s="14">
        <v>1.0</v>
      </c>
      <c r="W22" s="14">
        <v>0.3333333333333333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4" max="4" width="17.0"/>
    <col customWidth="1" min="7" max="7" width="10.0"/>
    <col customWidth="1" min="8" max="8" width="8.0"/>
  </cols>
  <sheetData>
    <row r="1">
      <c r="A1" s="1"/>
      <c r="B1" s="2"/>
      <c r="C1" s="3"/>
      <c r="D1" s="4"/>
      <c r="E1" s="5"/>
      <c r="F1" s="6"/>
      <c r="G1" s="6"/>
      <c r="H1" s="6"/>
      <c r="I1" s="6"/>
      <c r="O1" s="4" t="s">
        <v>0</v>
      </c>
      <c r="U1" s="6"/>
      <c r="V1" s="6"/>
      <c r="W1" s="7"/>
      <c r="X1" s="6"/>
      <c r="Y1" s="6"/>
      <c r="Z1" s="5"/>
      <c r="AA1" s="4" t="s">
        <v>1</v>
      </c>
    </row>
    <row r="2">
      <c r="A2" s="1"/>
      <c r="B2" s="2" t="s">
        <v>4</v>
      </c>
      <c r="C2" s="3"/>
      <c r="D2" s="4" t="s">
        <v>5</v>
      </c>
      <c r="E2" s="5"/>
      <c r="F2" s="6" t="str">
        <f t="array" ref="F2:I2">TRANSPOSE(INDEX(INDIRECT(INDEX(D4,0) &amp; "!$A$14:$A$17"),0))</f>
        <v>Goal</v>
      </c>
      <c r="G2" s="6" t="s">
        <v>6</v>
      </c>
      <c r="H2" s="6" t="s">
        <v>7</v>
      </c>
      <c r="I2" s="6" t="s">
        <v>8</v>
      </c>
      <c r="J2" s="1" t="s">
        <v>9</v>
      </c>
      <c r="K2" s="1" t="s">
        <v>10</v>
      </c>
      <c r="L2" s="1" t="s">
        <v>11</v>
      </c>
      <c r="M2" s="1" t="s">
        <v>12</v>
      </c>
      <c r="N2" s="8"/>
      <c r="O2" s="6" t="str">
        <f t="array" ref="O2:R2">TRANSPOSE(INDEX(INDIRECT(INDEX(D4,0) &amp; "!$A$14:$A$17"),0))</f>
        <v>Goal</v>
      </c>
      <c r="P2" s="6" t="s">
        <v>6</v>
      </c>
      <c r="Q2" s="6" t="s">
        <v>7</v>
      </c>
      <c r="R2" s="6" t="s">
        <v>8</v>
      </c>
      <c r="S2" s="1" t="s">
        <v>13</v>
      </c>
      <c r="U2" s="6" t="str">
        <f t="array" ref="U2:Y2">TRANSPOSE(INDEX(INDIRECT(INDEX(D4,0) &amp; "!$A$2:$A$6"),0))</f>
        <v>Redundant</v>
      </c>
      <c r="V2" s="6" t="s">
        <v>14</v>
      </c>
      <c r="W2" s="7" t="s">
        <v>15</v>
      </c>
      <c r="X2" s="6" t="s">
        <v>16</v>
      </c>
      <c r="Y2" s="6" t="s">
        <v>17</v>
      </c>
      <c r="Z2" s="5"/>
      <c r="AA2" s="6" t="str">
        <f t="array" ref="AA2:AE2">TRANSPOSE(INDEX(INDIRECT(INDEX(D4,0) &amp; "!$A$2:$A$6"),0))</f>
        <v>Redundant</v>
      </c>
      <c r="AB2" s="6" t="s">
        <v>14</v>
      </c>
      <c r="AC2" s="7" t="s">
        <v>15</v>
      </c>
      <c r="AD2" s="6" t="s">
        <v>16</v>
      </c>
      <c r="AE2" s="6" t="s">
        <v>17</v>
      </c>
      <c r="AF2" s="1" t="s">
        <v>13</v>
      </c>
    </row>
    <row r="3">
      <c r="A3" s="1"/>
      <c r="B3" s="4" t="s">
        <v>18</v>
      </c>
      <c r="D3" s="1" t="s">
        <v>4</v>
      </c>
      <c r="E3" s="2" t="s">
        <v>83</v>
      </c>
      <c r="F3" s="4" t="s">
        <v>4</v>
      </c>
      <c r="O3" s="4" t="s">
        <v>4</v>
      </c>
      <c r="U3" s="4" t="s">
        <v>4</v>
      </c>
      <c r="AA3" s="4" t="s">
        <v>4</v>
      </c>
    </row>
    <row r="4">
      <c r="A4" s="1" t="s">
        <v>81</v>
      </c>
      <c r="B4" s="9">
        <f t="array" ref="B4">INDEX(INDIRECT(INDEX($D$4,0) &amp; "!$D$8"),0)</f>
        <v>0.4375</v>
      </c>
      <c r="C4" s="10"/>
      <c r="D4" s="54" t="s">
        <v>84</v>
      </c>
      <c r="E4" s="55">
        <v>2774.0</v>
      </c>
      <c r="F4" s="9">
        <f t="array" ref="F4">INDEX(INDIRECT(INDEX($D$4,0) &amp; "!$D$14"),0)</f>
        <v>1</v>
      </c>
      <c r="G4" s="9">
        <f t="array" ref="G4">INDEX(INDIRECT(INDEX($D$4,0) &amp; "!$D$15"),0)</f>
        <v>0</v>
      </c>
      <c r="H4" s="9">
        <f t="array" ref="H4">INDEX(INDIRECT(INDEX($D$4,0) &amp; "!$D$16"),0)</f>
        <v>1</v>
      </c>
      <c r="I4" s="9">
        <f t="array" ref="I4">INDEX(INDIRECT(INDEX($D$4,0) &amp; "!$D$17"),0)</f>
        <v>0.125</v>
      </c>
      <c r="J4" s="13">
        <f t="array" ref="J4">SUM(F4:I4*O4:R4)/S4</f>
        <v>0.375</v>
      </c>
      <c r="K4" s="14">
        <f t="array" ref="K4">SUM(F4:H4*O4:Q4)/SUM(O4:Q4)</f>
        <v>0.625</v>
      </c>
      <c r="L4" s="14">
        <f t="shared" ref="L4:L6" si="1">(F4*O4+G4*P4+I4*R4)/(O4+P4+R4)</f>
        <v>0.1666666667</v>
      </c>
      <c r="M4" s="14">
        <f t="array" ref="M4">SUM(F4:G4*O4:P4)/SUM(O4:P4)</f>
        <v>0.25</v>
      </c>
      <c r="O4" s="15">
        <f t="array" ref="O4">INDEX(INDIRECT(INDEX($D$4,0) &amp; "!$C$14"),0)</f>
        <v>1</v>
      </c>
      <c r="P4" s="15">
        <f t="array" ref="P4">INDEX(INDIRECT(INDEX($D$4,0) &amp; "!$C$15"),0)</f>
        <v>3</v>
      </c>
      <c r="Q4" s="15">
        <f t="array" ref="Q4">INDEX(INDIRECT(INDEX($D$4,0) &amp; "!$C$16"),0)</f>
        <v>4</v>
      </c>
      <c r="R4" s="15">
        <f t="array" ref="R4">INDEX(INDIRECT(INDEX($D$4,0) &amp; "!$C$17"),0)</f>
        <v>8</v>
      </c>
      <c r="S4" s="16">
        <f t="shared" ref="S4:S7" si="2">SUM(O4:R4)</f>
        <v>16</v>
      </c>
      <c r="U4" s="9">
        <f t="array" ref="U4">INDEX(INDIRECT(INDEX($D$4,0) &amp; "!$D$2"),0)</f>
        <v>0.28125</v>
      </c>
      <c r="V4" s="9">
        <f t="array" ref="V4">INDEX(INDIRECT(INDEX($D$4,0) &amp; "!$D$3"),0)</f>
        <v>0.03125</v>
      </c>
      <c r="W4" s="9">
        <f t="array" ref="W4">INDEX(INDIRECT(INDEX($D$4,0) &amp; "!$D$4"),0)</f>
        <v>0.25</v>
      </c>
      <c r="X4" s="9">
        <f t="array" ref="X4">INDEX(INDIRECT(INDEX($D$4,0) &amp; "!$D$5"),0)</f>
        <v>0.1875</v>
      </c>
      <c r="Y4" s="9">
        <f t="array" ref="Y4">INDEX(INDIRECT(INDEX($D$4,0) &amp; "!$D$6"),0)</f>
        <v>0.25</v>
      </c>
      <c r="AA4" s="3">
        <f t="array" ref="AA4">INDEX(INDIRECT(INDEX($D$4,0) &amp; "!$C$2"),0)</f>
        <v>9</v>
      </c>
      <c r="AB4" s="3">
        <f t="array" ref="AB4">INDEX(INDIRECT(INDEX($D$4,0) &amp; "!$C$3"),0)</f>
        <v>1</v>
      </c>
      <c r="AC4" s="3">
        <f t="array" ref="AC4">INDEX(INDIRECT(INDEX($D$4,0) &amp; "!$C$4"),0)</f>
        <v>8</v>
      </c>
      <c r="AD4" s="3">
        <f t="array" ref="AD4">INDEX(INDIRECT(INDEX($D$4,0) &amp; "!$C$5"),0)</f>
        <v>6</v>
      </c>
      <c r="AE4" s="3">
        <f t="array" ref="AE4">INDEX(INDIRECT(INDEX($D$4,0) &amp; "!$C$6"),0)</f>
        <v>8</v>
      </c>
      <c r="AF4" s="17">
        <f t="shared" ref="AF4:AF7" si="3">SUM(AA4:AE4)</f>
        <v>32</v>
      </c>
    </row>
    <row r="5">
      <c r="A5" s="1" t="s">
        <v>82</v>
      </c>
      <c r="B5" s="9">
        <f t="array" ref="B5">INDEX(INDIRECT(INDEX($D$5,0) &amp; "!$D$8"),0)</f>
        <v>0.724137931</v>
      </c>
      <c r="D5" s="54" t="s">
        <v>85</v>
      </c>
      <c r="E5" s="55">
        <v>7994.0</v>
      </c>
      <c r="F5" s="9">
        <f t="array" ref="F5">INDEX(INDIRECT(INDEX($D$5,0) &amp; "!$D$14"),0)</f>
        <v>1</v>
      </c>
      <c r="G5" s="9">
        <f t="array" ref="G5">INDEX(INDIRECT(INDEX($D$5,0) &amp; "!$D$15"),0)</f>
        <v>0.4444444444</v>
      </c>
      <c r="H5" s="9">
        <f t="array" ref="H5">INDEX(INDIRECT(INDEX($D$5,0) &amp; "!$D$16"),0)</f>
        <v>1</v>
      </c>
      <c r="I5" s="9">
        <f t="array" ref="I5">INDEX(INDIRECT(INDEX($D$5,0) &amp; "!$D$17"),0)</f>
        <v>0.3333333333</v>
      </c>
      <c r="J5" s="13">
        <f t="array" ref="J5">SUM(F5:I5*O5:R5)/S5</f>
        <v>0.5769230769</v>
      </c>
      <c r="K5" s="14">
        <f t="array" ref="K5">SUM(F5:H5*O5:Q5)/SUM(O5:Q5)</f>
        <v>0.7058823529</v>
      </c>
      <c r="L5" s="14">
        <f t="shared" si="1"/>
        <v>0.5</v>
      </c>
      <c r="M5" s="14">
        <f t="array" ref="M5">SUM(F5:G5*O5:P5)/SUM(O5:P5)</f>
        <v>0.6153846154</v>
      </c>
      <c r="O5" s="15">
        <f t="array" ref="O5">INDEX(INDIRECT(INDEX($D$5,0) &amp; "!$C$14"),0)</f>
        <v>4</v>
      </c>
      <c r="P5" s="15">
        <f t="array" ref="P5">INDEX(INDIRECT(INDEX($D$5,0) &amp; "!$C$15"),0)</f>
        <v>9</v>
      </c>
      <c r="Q5" s="15">
        <f t="array" ref="Q5">INDEX(INDIRECT(INDEX($D$5,0) &amp; "!$C$16"),0)</f>
        <v>4</v>
      </c>
      <c r="R5" s="15">
        <f t="array" ref="R5">INDEX(INDIRECT(INDEX($D$5,0) &amp; "!$C$17"),0)</f>
        <v>9</v>
      </c>
      <c r="S5" s="16">
        <f t="shared" si="2"/>
        <v>26</v>
      </c>
      <c r="U5" s="9">
        <f t="array" ref="U5">INDEX(INDIRECT(INDEX($D$5,0) &amp; "!$D$2"),0)</f>
        <v>0.06896551724</v>
      </c>
      <c r="V5" s="9">
        <f t="array" ref="V5">INDEX(INDIRECT(INDEX($D$5,0) &amp; "!$D$3"),0)</f>
        <v>0.06896551724</v>
      </c>
      <c r="W5" s="9">
        <f t="array" ref="W5">INDEX(INDIRECT(INDEX($D$5,0) &amp; "!$D$4"),0)</f>
        <v>0.1379310345</v>
      </c>
      <c r="X5" s="9">
        <f t="array" ref="X5">INDEX(INDIRECT(INDEX($D$5,0) &amp; "!$D$5"),0)</f>
        <v>0.4827586207</v>
      </c>
      <c r="Y5" s="9">
        <f t="array" ref="Y5">INDEX(INDIRECT(INDEX($D$5,0) &amp; "!$D$6"),0)</f>
        <v>0.2413793103</v>
      </c>
      <c r="AA5" s="3">
        <f t="array" ref="AA5">INDEX(INDIRECT(INDEX($D$5,0) &amp; "!$C$2"),0)</f>
        <v>2</v>
      </c>
      <c r="AB5" s="3">
        <f t="array" ref="AB5">INDEX(INDIRECT(INDEX($D$5,0) &amp; "!$C$3"),0)</f>
        <v>2</v>
      </c>
      <c r="AC5" s="3">
        <f t="array" ref="AC5">INDEX(INDIRECT(INDEX($D$5,0) &amp; "!$C$4"),0)</f>
        <v>4</v>
      </c>
      <c r="AD5" s="3">
        <f t="array" ref="AD5">INDEX(INDIRECT(INDEX($D$5,0) &amp; "!$C$5"),0)</f>
        <v>14</v>
      </c>
      <c r="AE5" s="3">
        <f t="array" ref="AE5">INDEX(INDIRECT(INDEX($D$5,0) &amp; "!$C$6"),0)</f>
        <v>7</v>
      </c>
      <c r="AF5" s="17">
        <f t="shared" si="3"/>
        <v>29</v>
      </c>
    </row>
    <row r="6">
      <c r="A6" s="1" t="s">
        <v>80</v>
      </c>
      <c r="B6" s="9">
        <f t="array" ref="B6">INDEX(INDIRECT(INDEX($D$6,0) &amp; "!$D$8"),0)</f>
        <v>0.619047619</v>
      </c>
      <c r="D6" s="54" t="s">
        <v>86</v>
      </c>
      <c r="E6" s="55">
        <v>10163.0</v>
      </c>
      <c r="F6" s="9">
        <f t="array" ref="F6">INDEX(INDIRECT(INDEX($D$6,0) &amp; "!$D$14"),0)</f>
        <v>0.8</v>
      </c>
      <c r="G6" s="9">
        <f t="array" ref="G6">INDEX(INDIRECT(INDEX($D$6,0) &amp; "!$D$15"),0)</f>
        <v>0</v>
      </c>
      <c r="H6" s="9">
        <f t="array" ref="H6">INDEX(INDIRECT(INDEX($D$6,0) &amp; "!$D$16"),0)</f>
        <v>0.75</v>
      </c>
      <c r="I6" s="9">
        <f t="array" ref="I6">INDEX(INDIRECT(INDEX($D$6,0) &amp; "!$D$17"),0)</f>
        <v>0.4</v>
      </c>
      <c r="J6" s="13">
        <f t="array" ref="J6">SUM(F6:I6*O6:R6)/S6</f>
        <v>0.4583333333</v>
      </c>
      <c r="K6" s="14">
        <f t="array" ref="K6">SUM(F6:H6*O6:Q6)/SUM(O6:Q6)</f>
        <v>0.5</v>
      </c>
      <c r="L6" s="14">
        <f t="shared" si="1"/>
        <v>0.4</v>
      </c>
      <c r="M6" s="14">
        <f t="array" ref="M6">SUM(F6:G6*O6:P6)/SUM(O6:P6)</f>
        <v>0.4</v>
      </c>
      <c r="O6" s="15">
        <f t="array" ref="O6">INDEX(INDIRECT(INDEX($D$6,0) &amp; "!$C$14"),0)</f>
        <v>5</v>
      </c>
      <c r="P6" s="15">
        <f t="array" ref="P6">INDEX(INDIRECT(INDEX($D$6,0) &amp; "!$C$15"),0)</f>
        <v>5</v>
      </c>
      <c r="Q6" s="15">
        <f t="array" ref="Q6">INDEX(INDIRECT(INDEX($D$6,0) &amp; "!$C$16"),0)</f>
        <v>4</v>
      </c>
      <c r="R6" s="15">
        <f t="array" ref="R6">INDEX(INDIRECT(INDEX($D$6,0) &amp; "!$C$17"),0)</f>
        <v>10</v>
      </c>
      <c r="S6" s="16">
        <f t="shared" si="2"/>
        <v>24</v>
      </c>
      <c r="U6" s="9">
        <f t="array" ref="U6">INDEX(INDIRECT(INDEX($D$6,0) &amp; "!$D$2"),0)</f>
        <v>0.04761904762</v>
      </c>
      <c r="V6" s="9">
        <f t="array" ref="V6">INDEX(INDIRECT(INDEX($D$6,0) &amp; "!$D$3"),0)</f>
        <v>0.2857142857</v>
      </c>
      <c r="W6" s="9">
        <f t="array" ref="W6">INDEX(INDIRECT(INDEX($D$6,0) &amp; "!$D$4"),0)</f>
        <v>0.04761904762</v>
      </c>
      <c r="X6" s="9">
        <f t="array" ref="X6">INDEX(INDIRECT(INDEX($D$6,0) &amp; "!$D$5"),0)</f>
        <v>0.4285714286</v>
      </c>
      <c r="Y6" s="9">
        <f t="array" ref="Y6">INDEX(INDIRECT(INDEX($D$6,0) &amp; "!$D$6"),0)</f>
        <v>0.1904761905</v>
      </c>
      <c r="AA6" s="3">
        <f t="array" ref="AA6">INDEX(INDIRECT(INDEX($D$6,0) &amp; "!$C$2"),0)</f>
        <v>1</v>
      </c>
      <c r="AB6" s="3">
        <f t="array" ref="AB6">INDEX(INDIRECT(INDEX($D$6,0) &amp; "!$C$3"),0)</f>
        <v>6</v>
      </c>
      <c r="AC6" s="3">
        <f t="array" ref="AC6">INDEX(INDIRECT(INDEX($D$6,0) &amp; "!$C$4"),0)</f>
        <v>1</v>
      </c>
      <c r="AD6" s="3">
        <f t="array" ref="AD6">INDEX(INDIRECT(INDEX($D$6,0) &amp; "!$C$5"),0)</f>
        <v>9</v>
      </c>
      <c r="AE6" s="3">
        <f t="array" ref="AE6">INDEX(INDIRECT(INDEX($D$6,0) &amp; "!$C$6"),0)</f>
        <v>4</v>
      </c>
      <c r="AF6" s="17">
        <f t="shared" si="3"/>
        <v>21</v>
      </c>
    </row>
    <row r="7">
      <c r="A7" s="1" t="s">
        <v>44</v>
      </c>
      <c r="B7" s="19">
        <f>AVERAGE(B$4:B6)</f>
        <v>0.59356185</v>
      </c>
      <c r="F7" s="19">
        <f t="shared" ref="F7:M7" si="4">AVERAGE(F4:F6)</f>
        <v>0.9333333333</v>
      </c>
      <c r="G7" s="19">
        <f t="shared" si="4"/>
        <v>0.1481481481</v>
      </c>
      <c r="H7" s="19">
        <f t="shared" si="4"/>
        <v>0.9166666667</v>
      </c>
      <c r="I7" s="19">
        <f t="shared" si="4"/>
        <v>0.2861111111</v>
      </c>
      <c r="J7" s="42">
        <f t="shared" si="4"/>
        <v>0.4700854701</v>
      </c>
      <c r="K7" s="43">
        <f t="shared" si="4"/>
        <v>0.6102941176</v>
      </c>
      <c r="L7" s="19">
        <f t="shared" si="4"/>
        <v>0.3555555556</v>
      </c>
      <c r="M7" s="43">
        <f t="shared" si="4"/>
        <v>0.4217948718</v>
      </c>
      <c r="O7" s="22">
        <f t="shared" ref="O7:R7" si="5">SUM(O4:O6)</f>
        <v>10</v>
      </c>
      <c r="P7" s="22">
        <f t="shared" si="5"/>
        <v>17</v>
      </c>
      <c r="Q7" s="22">
        <f t="shared" si="5"/>
        <v>12</v>
      </c>
      <c r="R7" s="22">
        <f t="shared" si="5"/>
        <v>27</v>
      </c>
      <c r="S7" s="23">
        <f t="shared" si="2"/>
        <v>66</v>
      </c>
      <c r="U7" s="19">
        <f t="shared" ref="U7:Y7" si="6">AVERAGE(U4:U6)</f>
        <v>0.1326115216</v>
      </c>
      <c r="V7" s="19">
        <f t="shared" si="6"/>
        <v>0.1286432677</v>
      </c>
      <c r="W7" s="19">
        <f t="shared" si="6"/>
        <v>0.1451833607</v>
      </c>
      <c r="X7" s="19">
        <f t="shared" si="6"/>
        <v>0.3662766831</v>
      </c>
      <c r="Y7" s="19">
        <f t="shared" si="6"/>
        <v>0.2272851669</v>
      </c>
      <c r="Z7" s="24">
        <f t="shared" ref="Z7:Z8" si="9">SUM(U7:Y7)</f>
        <v>1</v>
      </c>
      <c r="AA7" s="25">
        <f t="shared" ref="AA7:AE7" si="7">SUM(AA4:AA6)</f>
        <v>12</v>
      </c>
      <c r="AB7" s="25">
        <f t="shared" si="7"/>
        <v>9</v>
      </c>
      <c r="AC7" s="25">
        <f t="shared" si="7"/>
        <v>13</v>
      </c>
      <c r="AD7" s="25">
        <f t="shared" si="7"/>
        <v>29</v>
      </c>
      <c r="AE7" s="25">
        <f t="shared" si="7"/>
        <v>19</v>
      </c>
      <c r="AF7" s="26">
        <f t="shared" si="3"/>
        <v>82</v>
      </c>
    </row>
    <row r="8">
      <c r="A8" s="1" t="s">
        <v>45</v>
      </c>
      <c r="B8" s="9">
        <f t="array" ref="B8">SUM($B4:$B6*$AF4:$AF6)/$AF7</f>
        <v>0.5853658537</v>
      </c>
      <c r="F8" s="14">
        <f t="array" ref="F8">SUM(F4:F6*O4:O6)/O7</f>
        <v>0.9</v>
      </c>
      <c r="G8" s="14">
        <f t="array" ref="G8">SUM(G4:G6*P4:P6)/P7</f>
        <v>0.2352941176</v>
      </c>
      <c r="H8" s="14">
        <f t="array" ref="H8">SUM(H4:H6*Q4:Q6)/Q7</f>
        <v>0.9166666667</v>
      </c>
      <c r="I8" s="14">
        <f t="array" ref="I8">SUM(I4:I6*R4:R6)/R7</f>
        <v>0.2962962963</v>
      </c>
      <c r="J8" s="44">
        <f t="array" ref="J8">SUM(J4:J6*S4:S6)/S7</f>
        <v>0.4848484848</v>
      </c>
      <c r="K8" s="56"/>
      <c r="L8" s="14"/>
      <c r="M8" s="56"/>
      <c r="U8" s="14">
        <f t="shared" ref="U8:Y8" si="8">AA7/$AF7</f>
        <v>0.1463414634</v>
      </c>
      <c r="V8" s="14">
        <f t="shared" si="8"/>
        <v>0.1097560976</v>
      </c>
      <c r="W8" s="14">
        <f t="shared" si="8"/>
        <v>0.1585365854</v>
      </c>
      <c r="X8" s="14">
        <f t="shared" si="8"/>
        <v>0.3536585366</v>
      </c>
      <c r="Y8" s="14">
        <f t="shared" si="8"/>
        <v>0.2317073171</v>
      </c>
      <c r="Z8" s="24">
        <f t="shared" si="9"/>
        <v>1</v>
      </c>
    </row>
    <row r="9">
      <c r="B9" s="3"/>
      <c r="H9" s="18"/>
      <c r="V9" s="27"/>
      <c r="W9" s="27"/>
      <c r="AB9" s="27"/>
      <c r="AC9" s="27"/>
    </row>
    <row r="10">
      <c r="B10" s="30"/>
    </row>
    <row r="11">
      <c r="B11" s="4"/>
      <c r="F11" s="4"/>
      <c r="G11" s="4"/>
      <c r="H11" s="4"/>
      <c r="I11" s="4"/>
      <c r="O11" s="4"/>
      <c r="P11" s="4"/>
      <c r="Q11" s="4"/>
      <c r="R11" s="4"/>
      <c r="U11" s="4"/>
      <c r="V11" s="4"/>
      <c r="W11" s="4"/>
      <c r="X11" s="4"/>
      <c r="Y11" s="4"/>
      <c r="AA11" s="4"/>
      <c r="AB11" s="4"/>
      <c r="AC11" s="4"/>
      <c r="AD11" s="4"/>
      <c r="AE11" s="4"/>
    </row>
    <row r="12">
      <c r="B12" s="4" t="s">
        <v>9</v>
      </c>
      <c r="F12" s="57"/>
      <c r="G12" s="57"/>
      <c r="H12" s="57"/>
      <c r="I12" s="57"/>
      <c r="J12" s="57"/>
      <c r="K12" s="57"/>
      <c r="L12" s="57"/>
      <c r="M12" s="57"/>
      <c r="O12" s="57"/>
      <c r="P12" s="57"/>
      <c r="Q12" s="57"/>
      <c r="R12" s="57"/>
      <c r="U12" s="57"/>
      <c r="V12" s="57"/>
      <c r="W12" s="57"/>
      <c r="X12" s="57"/>
      <c r="Y12" s="57"/>
      <c r="AA12" s="57"/>
      <c r="AB12" s="57"/>
      <c r="AC12" s="57"/>
      <c r="AD12" s="57"/>
      <c r="AE12" s="57"/>
    </row>
    <row r="13">
      <c r="A13" s="1" t="s">
        <v>81</v>
      </c>
      <c r="B13" s="9">
        <f t="array" ref="B13">INDEX(INDIRECT(INDEX($D$4,0) &amp; "!$D$18"),0)</f>
        <v>0.375</v>
      </c>
      <c r="C13" s="58"/>
      <c r="J13" s="14"/>
      <c r="K13" s="14"/>
      <c r="L13" s="14"/>
      <c r="M13" s="14"/>
    </row>
    <row r="14">
      <c r="A14" s="1" t="s">
        <v>82</v>
      </c>
      <c r="B14" s="9">
        <f t="array" ref="B14">INDEX(INDIRECT(INDEX($D$5,0) &amp; "!$D$18"),0)</f>
        <v>0.5769230769</v>
      </c>
      <c r="C14" s="10"/>
      <c r="J14" s="14"/>
      <c r="K14" s="14"/>
      <c r="L14" s="14"/>
      <c r="M14" s="14"/>
    </row>
    <row r="15">
      <c r="A15" s="1" t="s">
        <v>80</v>
      </c>
      <c r="B15" s="9">
        <f t="array" ref="B15">INDEX(INDIRECT(INDEX($D$6,0) &amp; "!$D$18"),0)</f>
        <v>0.4583333333</v>
      </c>
      <c r="C15" s="10"/>
      <c r="J15" s="14"/>
      <c r="K15" s="14"/>
      <c r="L15" s="14"/>
      <c r="M15" s="14"/>
    </row>
    <row r="16">
      <c r="A16" s="1" t="s">
        <v>44</v>
      </c>
      <c r="B16" s="19">
        <f>AVERAGE(B$13:B15)</f>
        <v>0.4700854701</v>
      </c>
      <c r="C16" s="18"/>
      <c r="E16" s="18"/>
      <c r="F16" s="14"/>
      <c r="G16" s="14"/>
      <c r="H16" s="14"/>
      <c r="I16" s="14"/>
      <c r="J16" s="14"/>
      <c r="K16" s="14"/>
      <c r="L16" s="14"/>
      <c r="M16" s="14"/>
      <c r="U16" s="14"/>
      <c r="V16" s="14"/>
      <c r="W16" s="14"/>
      <c r="X16" s="14"/>
      <c r="Y16" s="14"/>
      <c r="Z16" s="57"/>
      <c r="AA16" s="57"/>
      <c r="AB16" s="57"/>
      <c r="AC16" s="57"/>
      <c r="AD16" s="57"/>
      <c r="AE16" s="57"/>
    </row>
    <row r="17">
      <c r="A17" s="1" t="s">
        <v>45</v>
      </c>
      <c r="B17" s="9">
        <f t="array" ref="B17">SUM($B13:$B15*$S4:$S6)/$S7</f>
        <v>0.4848484848</v>
      </c>
      <c r="C17" s="18"/>
      <c r="F17" s="14"/>
      <c r="G17" s="14"/>
      <c r="H17" s="14"/>
      <c r="I17" s="14"/>
      <c r="J17" s="14"/>
      <c r="K17" s="14"/>
      <c r="L17" s="14"/>
      <c r="M17" s="14"/>
      <c r="U17" s="14"/>
      <c r="V17" s="14"/>
      <c r="W17" s="14"/>
      <c r="X17" s="14"/>
      <c r="Y17" s="14"/>
      <c r="Z17" s="57"/>
    </row>
    <row r="18">
      <c r="B18" s="3"/>
      <c r="V18" s="27"/>
      <c r="W18" s="27"/>
      <c r="AB18" s="27"/>
      <c r="AC18" s="27"/>
    </row>
    <row r="19">
      <c r="B19" s="30"/>
    </row>
    <row r="20">
      <c r="B20" s="4"/>
      <c r="F20" s="4"/>
      <c r="G20" s="4"/>
      <c r="H20" s="4"/>
      <c r="I20" s="4"/>
      <c r="O20" s="4"/>
      <c r="P20" s="4"/>
      <c r="Q20" s="4"/>
      <c r="R20" s="4"/>
      <c r="U20" s="4"/>
      <c r="V20" s="4"/>
      <c r="W20" s="4"/>
      <c r="X20" s="4"/>
      <c r="Y20" s="4"/>
      <c r="AA20" s="4"/>
      <c r="AB20" s="4"/>
      <c r="AC20" s="4"/>
      <c r="AD20" s="4"/>
      <c r="AE20" s="4"/>
    </row>
    <row r="21">
      <c r="B21" s="4" t="s">
        <v>74</v>
      </c>
    </row>
    <row r="22">
      <c r="A22" s="1" t="s">
        <v>81</v>
      </c>
      <c r="B22" s="9">
        <f t="shared" ref="B22:B24" si="10">IF(B4, 2*B4*B13/(B4+B13), "")</f>
        <v>0.4038461538</v>
      </c>
      <c r="C22" s="18" t="s">
        <v>40</v>
      </c>
    </row>
    <row r="23">
      <c r="A23" s="1" t="s">
        <v>82</v>
      </c>
      <c r="B23" s="9">
        <f t="shared" si="10"/>
        <v>0.6422018349</v>
      </c>
    </row>
    <row r="24">
      <c r="A24" s="1" t="s">
        <v>80</v>
      </c>
      <c r="B24" s="9">
        <f t="shared" si="10"/>
        <v>0.5267034991</v>
      </c>
    </row>
    <row r="25">
      <c r="A25" s="1" t="s">
        <v>44</v>
      </c>
      <c r="B25" s="19">
        <f>AVERAGE(B$22:B24)</f>
        <v>0.5242504959</v>
      </c>
      <c r="C25" s="18"/>
      <c r="E25" s="18"/>
    </row>
    <row r="26">
      <c r="A26" s="1" t="s">
        <v>45</v>
      </c>
      <c r="B26" s="59"/>
    </row>
    <row r="27">
      <c r="B27" s="3"/>
      <c r="F27" s="45"/>
      <c r="G27" s="45"/>
      <c r="H27" s="45"/>
      <c r="I27" s="18"/>
      <c r="J27" s="45"/>
      <c r="K27" s="45"/>
      <c r="L27" s="45"/>
      <c r="M27" s="45"/>
      <c r="U27" s="46"/>
      <c r="V27" s="47"/>
      <c r="W27" s="47"/>
    </row>
    <row r="28">
      <c r="A28" s="1"/>
      <c r="B28" s="4" t="s">
        <v>56</v>
      </c>
      <c r="C28" s="4" t="s">
        <v>57</v>
      </c>
      <c r="D28" s="4"/>
      <c r="F28" s="1"/>
      <c r="H28" s="4"/>
      <c r="I28" s="4"/>
      <c r="J28" s="45"/>
      <c r="K28" s="45"/>
      <c r="L28" s="45"/>
      <c r="M28" s="45"/>
      <c r="U28" s="46"/>
      <c r="V28" s="47"/>
      <c r="W28" s="47"/>
    </row>
    <row r="29">
      <c r="A29" s="1" t="s">
        <v>81</v>
      </c>
      <c r="B29" s="15">
        <f t="array" ref="B29">INDEX(INDIRECT(INDEX($D$4,0) &amp; "!$C$7"),0)</f>
        <v>32</v>
      </c>
      <c r="C29" s="48">
        <f t="shared" ref="C29:C31" si="11">INDEX(INDIRECT(INDEX($D4,0) &amp; "!$C$7"),0) * $B4</f>
        <v>14</v>
      </c>
      <c r="J29" s="45"/>
      <c r="K29" s="45"/>
      <c r="L29" s="45"/>
      <c r="M29" s="45"/>
      <c r="U29" s="46"/>
      <c r="V29" s="47"/>
      <c r="W29" s="47"/>
    </row>
    <row r="30">
      <c r="A30" s="1" t="s">
        <v>82</v>
      </c>
      <c r="B30" s="15">
        <f t="array" ref="B30">INDEX(INDIRECT(INDEX($D$5,0) &amp; "!$C$7"),0)</f>
        <v>29</v>
      </c>
      <c r="C30" s="48">
        <f t="shared" si="11"/>
        <v>21</v>
      </c>
      <c r="U30" s="46"/>
      <c r="V30" s="47"/>
      <c r="W30" s="47"/>
    </row>
    <row r="31">
      <c r="A31" s="1" t="s">
        <v>80</v>
      </c>
      <c r="B31" s="15">
        <f t="array" ref="B31">INDEX(INDIRECT(INDEX($D$6,0) &amp; "!$C$7"),0)</f>
        <v>21</v>
      </c>
      <c r="C31" s="48">
        <f t="shared" si="11"/>
        <v>13</v>
      </c>
      <c r="U31" s="46"/>
      <c r="V31" s="47"/>
      <c r="W31" s="47"/>
    </row>
    <row r="32">
      <c r="A32" s="1" t="s">
        <v>44</v>
      </c>
      <c r="B32" s="49">
        <f t="shared" ref="B32:C32" si="12">AVERAGE(B29:B31)</f>
        <v>27.33333333</v>
      </c>
      <c r="C32" s="49">
        <f t="shared" si="12"/>
        <v>16</v>
      </c>
      <c r="D32" s="20"/>
      <c r="H32" s="20"/>
      <c r="I32" s="20"/>
      <c r="U32" s="46"/>
      <c r="V32" s="47"/>
      <c r="W32" s="47"/>
    </row>
    <row r="33">
      <c r="A33" s="1"/>
      <c r="B33" s="4"/>
      <c r="C33" s="4"/>
      <c r="D33" s="3"/>
      <c r="F33" s="1"/>
      <c r="H33" s="3"/>
      <c r="I33" s="3"/>
      <c r="U33" s="46"/>
      <c r="V33" s="47"/>
      <c r="W33" s="47"/>
    </row>
    <row r="34">
      <c r="B34" s="29"/>
      <c r="C34" s="29"/>
      <c r="D34" s="9"/>
      <c r="H34" s="9"/>
      <c r="I34" s="9"/>
      <c r="U34" s="46"/>
      <c r="V34" s="47"/>
      <c r="W34" s="47"/>
    </row>
    <row r="35">
      <c r="B35" s="29"/>
      <c r="C35" s="29"/>
      <c r="D35" s="30"/>
      <c r="H35" s="30"/>
      <c r="I35" s="30"/>
      <c r="U35" s="46"/>
      <c r="V35" s="47"/>
      <c r="W35" s="47"/>
    </row>
    <row r="36">
      <c r="U36" s="46"/>
      <c r="V36" s="47"/>
      <c r="W36" s="47"/>
    </row>
    <row r="37">
      <c r="U37" s="46"/>
      <c r="V37" s="47"/>
      <c r="W37" s="47"/>
    </row>
    <row r="38">
      <c r="U38" s="46"/>
      <c r="V38" s="47"/>
      <c r="W38" s="47"/>
    </row>
    <row r="39">
      <c r="U39" s="46"/>
      <c r="V39" s="47"/>
      <c r="W39" s="47"/>
    </row>
    <row r="40">
      <c r="U40" s="46"/>
      <c r="V40" s="47"/>
      <c r="W40" s="47"/>
    </row>
    <row r="41">
      <c r="U41" s="46"/>
      <c r="V41" s="47"/>
      <c r="W41" s="47"/>
    </row>
    <row r="42">
      <c r="U42" s="46"/>
      <c r="V42" s="47"/>
      <c r="W42" s="47"/>
    </row>
    <row r="43">
      <c r="U43" s="46"/>
      <c r="V43" s="47"/>
      <c r="W43" s="47"/>
    </row>
    <row r="44">
      <c r="U44" s="46"/>
      <c r="V44" s="47"/>
      <c r="W44" s="47"/>
    </row>
    <row r="45">
      <c r="U45" s="46"/>
      <c r="V45" s="47"/>
      <c r="W45" s="47"/>
    </row>
    <row r="46">
      <c r="U46" s="46"/>
      <c r="V46" s="47"/>
      <c r="W46" s="47"/>
    </row>
    <row r="47">
      <c r="U47" s="46"/>
      <c r="V47" s="47"/>
      <c r="W47" s="47"/>
    </row>
    <row r="48">
      <c r="U48" s="46"/>
      <c r="V48" s="47"/>
      <c r="W48" s="47"/>
    </row>
    <row r="49">
      <c r="U49" s="46"/>
      <c r="V49" s="47"/>
      <c r="W49" s="47"/>
    </row>
    <row r="50">
      <c r="U50" s="46"/>
      <c r="V50" s="47"/>
      <c r="W50" s="47"/>
    </row>
    <row r="51">
      <c r="U51" s="46"/>
      <c r="V51" s="47"/>
      <c r="W51" s="47"/>
    </row>
    <row r="52">
      <c r="U52" s="46"/>
      <c r="V52" s="47"/>
      <c r="W52" s="47"/>
    </row>
    <row r="53">
      <c r="U53" s="46"/>
      <c r="V53" s="47"/>
      <c r="W53" s="47"/>
    </row>
    <row r="54">
      <c r="U54" s="46"/>
      <c r="V54" s="47"/>
      <c r="W54" s="47"/>
    </row>
    <row r="55">
      <c r="U55" s="46"/>
      <c r="V55" s="47"/>
      <c r="W55" s="47"/>
    </row>
    <row r="56">
      <c r="U56" s="46"/>
      <c r="V56" s="47"/>
      <c r="W56" s="47"/>
    </row>
    <row r="57">
      <c r="U57" s="46"/>
      <c r="V57" s="47"/>
      <c r="W57" s="47"/>
    </row>
    <row r="58">
      <c r="U58" s="46"/>
      <c r="V58" s="47"/>
      <c r="W58" s="47"/>
    </row>
    <row r="59">
      <c r="U59" s="46"/>
      <c r="V59" s="47"/>
      <c r="W59" s="47"/>
    </row>
    <row r="60">
      <c r="U60" s="46"/>
      <c r="V60" s="47"/>
      <c r="W60" s="47"/>
    </row>
    <row r="61">
      <c r="U61" s="46"/>
      <c r="V61" s="47"/>
      <c r="W61" s="47"/>
    </row>
    <row r="62">
      <c r="U62" s="46"/>
      <c r="V62" s="47"/>
      <c r="W62" s="47"/>
    </row>
    <row r="63">
      <c r="U63" s="46"/>
      <c r="V63" s="47"/>
      <c r="W63" s="47"/>
    </row>
    <row r="64">
      <c r="U64" s="46"/>
      <c r="V64" s="47"/>
      <c r="W64" s="47"/>
    </row>
    <row r="65">
      <c r="U65" s="46"/>
      <c r="V65" s="47"/>
      <c r="W65" s="47"/>
    </row>
    <row r="66">
      <c r="U66" s="46"/>
      <c r="V66" s="47"/>
      <c r="W66" s="47"/>
    </row>
    <row r="67">
      <c r="U67" s="46"/>
      <c r="V67" s="47"/>
      <c r="W67" s="47"/>
    </row>
    <row r="68">
      <c r="U68" s="46"/>
      <c r="V68" s="47"/>
      <c r="W68" s="47"/>
    </row>
    <row r="69">
      <c r="U69" s="46"/>
      <c r="V69" s="47"/>
      <c r="W69" s="47"/>
    </row>
    <row r="70">
      <c r="U70" s="46"/>
      <c r="V70" s="47"/>
      <c r="W70" s="47"/>
    </row>
    <row r="71">
      <c r="U71" s="46"/>
      <c r="V71" s="47"/>
      <c r="W71" s="47"/>
    </row>
    <row r="72">
      <c r="U72" s="46"/>
      <c r="V72" s="47"/>
      <c r="W72" s="47"/>
    </row>
    <row r="73">
      <c r="U73" s="46"/>
      <c r="V73" s="47"/>
      <c r="W73" s="47"/>
    </row>
    <row r="74">
      <c r="U74" s="46"/>
      <c r="V74" s="47"/>
      <c r="W74" s="47"/>
    </row>
    <row r="75">
      <c r="U75" s="46"/>
      <c r="V75" s="47"/>
      <c r="W75" s="47"/>
    </row>
    <row r="76">
      <c r="U76" s="46"/>
      <c r="V76" s="47"/>
      <c r="W76" s="47"/>
    </row>
    <row r="77">
      <c r="U77" s="46"/>
      <c r="V77" s="47"/>
      <c r="W77" s="47"/>
    </row>
    <row r="78">
      <c r="U78" s="46"/>
      <c r="V78" s="47"/>
      <c r="W78" s="47"/>
    </row>
    <row r="79">
      <c r="U79" s="46"/>
      <c r="V79" s="47"/>
      <c r="W79" s="47"/>
    </row>
    <row r="80">
      <c r="U80" s="46"/>
      <c r="V80" s="47"/>
      <c r="W80" s="47"/>
    </row>
    <row r="81">
      <c r="U81" s="46"/>
      <c r="V81" s="47"/>
      <c r="W81" s="47"/>
    </row>
    <row r="82">
      <c r="U82" s="46"/>
      <c r="V82" s="47"/>
      <c r="W82" s="47"/>
    </row>
    <row r="83">
      <c r="U83" s="46"/>
      <c r="V83" s="47"/>
      <c r="W83" s="47"/>
    </row>
    <row r="84">
      <c r="U84" s="46"/>
      <c r="V84" s="47"/>
      <c r="W84" s="47"/>
    </row>
    <row r="85">
      <c r="U85" s="46"/>
      <c r="V85" s="47"/>
      <c r="W85" s="47"/>
    </row>
    <row r="86">
      <c r="U86" s="46"/>
      <c r="V86" s="47"/>
      <c r="W86" s="47"/>
    </row>
    <row r="87">
      <c r="U87" s="46"/>
      <c r="V87" s="47"/>
      <c r="W87" s="47"/>
    </row>
    <row r="88">
      <c r="U88" s="46"/>
      <c r="V88" s="47"/>
      <c r="W88" s="47"/>
    </row>
    <row r="89">
      <c r="U89" s="46"/>
      <c r="V89" s="47"/>
      <c r="W89" s="47"/>
    </row>
    <row r="90">
      <c r="U90" s="46"/>
      <c r="V90" s="47"/>
      <c r="W90" s="47"/>
    </row>
    <row r="91">
      <c r="U91" s="46"/>
      <c r="V91" s="47"/>
      <c r="W91" s="47"/>
    </row>
    <row r="92">
      <c r="U92" s="46"/>
      <c r="V92" s="47"/>
      <c r="W92" s="47"/>
    </row>
    <row r="93">
      <c r="U93" s="46"/>
      <c r="V93" s="47"/>
      <c r="W93" s="47"/>
    </row>
    <row r="94">
      <c r="U94" s="46"/>
      <c r="V94" s="47"/>
      <c r="W94" s="47"/>
    </row>
    <row r="95">
      <c r="U95" s="46"/>
      <c r="V95" s="47"/>
      <c r="W95" s="47"/>
    </row>
    <row r="96">
      <c r="U96" s="46"/>
      <c r="V96" s="47"/>
      <c r="W96" s="47"/>
    </row>
    <row r="97">
      <c r="U97" s="46"/>
      <c r="V97" s="47"/>
      <c r="W97" s="47"/>
    </row>
    <row r="98">
      <c r="U98" s="46"/>
      <c r="V98" s="47"/>
      <c r="W98" s="47"/>
    </row>
    <row r="99">
      <c r="U99" s="46"/>
      <c r="V99" s="47"/>
      <c r="W99" s="47"/>
    </row>
    <row r="100">
      <c r="U100" s="46"/>
      <c r="V100" s="47"/>
      <c r="W100" s="47"/>
    </row>
    <row r="101">
      <c r="U101" s="46"/>
      <c r="V101" s="47"/>
      <c r="W101" s="47"/>
    </row>
    <row r="102">
      <c r="U102" s="46"/>
      <c r="V102" s="47"/>
      <c r="W102" s="47"/>
    </row>
    <row r="103">
      <c r="U103" s="46"/>
      <c r="V103" s="47"/>
      <c r="W103" s="47"/>
    </row>
    <row r="104">
      <c r="U104" s="46"/>
      <c r="V104" s="47"/>
      <c r="W104" s="47"/>
    </row>
    <row r="105">
      <c r="U105" s="46"/>
      <c r="V105" s="47"/>
      <c r="W105" s="47"/>
    </row>
    <row r="106">
      <c r="U106" s="46"/>
      <c r="V106" s="47"/>
      <c r="W106" s="47"/>
    </row>
    <row r="107">
      <c r="U107" s="46"/>
      <c r="V107" s="47"/>
      <c r="W107" s="47"/>
    </row>
    <row r="108">
      <c r="U108" s="46"/>
      <c r="V108" s="47"/>
      <c r="W108" s="47"/>
    </row>
    <row r="109">
      <c r="U109" s="46"/>
      <c r="V109" s="47"/>
      <c r="W109" s="47"/>
    </row>
    <row r="110">
      <c r="U110" s="46"/>
      <c r="V110" s="47"/>
      <c r="W110" s="47"/>
    </row>
    <row r="111">
      <c r="U111" s="46"/>
      <c r="V111" s="47"/>
      <c r="W111" s="47"/>
    </row>
    <row r="112">
      <c r="U112" s="46"/>
      <c r="V112" s="47"/>
      <c r="W112" s="47"/>
    </row>
    <row r="113">
      <c r="U113" s="46"/>
      <c r="V113" s="47"/>
      <c r="W113" s="47"/>
    </row>
    <row r="114">
      <c r="U114" s="46"/>
      <c r="V114" s="47"/>
      <c r="W114" s="47"/>
    </row>
    <row r="115">
      <c r="U115" s="46"/>
      <c r="V115" s="47"/>
      <c r="W115" s="47"/>
    </row>
    <row r="116">
      <c r="U116" s="46"/>
      <c r="V116" s="47"/>
      <c r="W116" s="47"/>
    </row>
    <row r="117">
      <c r="U117" s="46"/>
      <c r="V117" s="47"/>
      <c r="W117" s="47"/>
    </row>
    <row r="118">
      <c r="U118" s="46"/>
      <c r="V118" s="47"/>
      <c r="W118" s="47"/>
    </row>
    <row r="119">
      <c r="U119" s="46"/>
      <c r="V119" s="47"/>
      <c r="W119" s="47"/>
    </row>
    <row r="120">
      <c r="U120" s="46"/>
      <c r="V120" s="47"/>
      <c r="W120" s="47"/>
    </row>
    <row r="121">
      <c r="U121" s="46"/>
      <c r="V121" s="47"/>
      <c r="W121" s="47"/>
    </row>
    <row r="122">
      <c r="U122" s="46"/>
      <c r="V122" s="47"/>
      <c r="W122" s="47"/>
    </row>
    <row r="123">
      <c r="U123" s="46"/>
      <c r="V123" s="47"/>
      <c r="W123" s="47"/>
    </row>
    <row r="124">
      <c r="U124" s="46"/>
      <c r="V124" s="47"/>
      <c r="W124" s="47"/>
    </row>
    <row r="125">
      <c r="U125" s="46"/>
      <c r="V125" s="47"/>
      <c r="W125" s="47"/>
    </row>
    <row r="126">
      <c r="U126" s="46"/>
      <c r="V126" s="47"/>
      <c r="W126" s="47"/>
    </row>
    <row r="127">
      <c r="U127" s="46"/>
      <c r="V127" s="47"/>
      <c r="W127" s="47"/>
    </row>
    <row r="128">
      <c r="U128" s="46"/>
      <c r="V128" s="47"/>
      <c r="W128" s="47"/>
    </row>
    <row r="129">
      <c r="U129" s="46"/>
      <c r="V129" s="47"/>
      <c r="W129" s="47"/>
    </row>
    <row r="130">
      <c r="U130" s="46"/>
      <c r="V130" s="47"/>
      <c r="W130" s="47"/>
    </row>
    <row r="131">
      <c r="U131" s="46"/>
      <c r="V131" s="47"/>
      <c r="W131" s="47"/>
    </row>
    <row r="132">
      <c r="U132" s="46"/>
      <c r="V132" s="47"/>
      <c r="W132" s="47"/>
    </row>
    <row r="133">
      <c r="U133" s="46"/>
      <c r="V133" s="47"/>
      <c r="W133" s="47"/>
    </row>
    <row r="134">
      <c r="U134" s="46"/>
      <c r="V134" s="47"/>
      <c r="W134" s="47"/>
    </row>
    <row r="135">
      <c r="U135" s="46"/>
      <c r="V135" s="47"/>
      <c r="W135" s="47"/>
    </row>
    <row r="136">
      <c r="U136" s="46"/>
      <c r="V136" s="47"/>
      <c r="W136" s="47"/>
    </row>
    <row r="137">
      <c r="U137" s="46"/>
      <c r="V137" s="47"/>
      <c r="W137" s="47"/>
    </row>
    <row r="138">
      <c r="U138" s="46"/>
      <c r="V138" s="47"/>
      <c r="W138" s="47"/>
    </row>
    <row r="139">
      <c r="U139" s="46"/>
      <c r="V139" s="47"/>
      <c r="W139" s="47"/>
    </row>
    <row r="140">
      <c r="U140" s="46"/>
      <c r="V140" s="47"/>
      <c r="W140" s="47"/>
    </row>
    <row r="141">
      <c r="U141" s="46"/>
      <c r="V141" s="47"/>
      <c r="W141" s="47"/>
    </row>
    <row r="142">
      <c r="U142" s="46"/>
      <c r="V142" s="47"/>
      <c r="W142" s="47"/>
    </row>
    <row r="143">
      <c r="U143" s="46"/>
      <c r="V143" s="47"/>
      <c r="W143" s="47"/>
    </row>
    <row r="144">
      <c r="U144" s="46"/>
      <c r="V144" s="47"/>
      <c r="W144" s="47"/>
    </row>
    <row r="145">
      <c r="U145" s="46"/>
      <c r="V145" s="47"/>
      <c r="W145" s="47"/>
    </row>
    <row r="146">
      <c r="U146" s="46"/>
      <c r="V146" s="47"/>
      <c r="W146" s="47"/>
    </row>
    <row r="147">
      <c r="U147" s="46"/>
      <c r="V147" s="47"/>
      <c r="W147" s="47"/>
    </row>
    <row r="148">
      <c r="U148" s="46"/>
      <c r="V148" s="47"/>
      <c r="W148" s="47"/>
    </row>
    <row r="149">
      <c r="U149" s="46"/>
      <c r="V149" s="47"/>
      <c r="W149" s="47"/>
    </row>
    <row r="150">
      <c r="U150" s="46"/>
      <c r="V150" s="47"/>
      <c r="W150" s="47"/>
    </row>
    <row r="151">
      <c r="U151" s="46"/>
      <c r="V151" s="47"/>
      <c r="W151" s="47"/>
    </row>
    <row r="152">
      <c r="U152" s="46"/>
      <c r="V152" s="47"/>
      <c r="W152" s="47"/>
    </row>
    <row r="153">
      <c r="U153" s="46"/>
      <c r="V153" s="47"/>
      <c r="W153" s="47"/>
    </row>
    <row r="154">
      <c r="U154" s="46"/>
      <c r="V154" s="47"/>
      <c r="W154" s="47"/>
    </row>
    <row r="155">
      <c r="U155" s="46"/>
      <c r="V155" s="47"/>
      <c r="W155" s="47"/>
    </row>
    <row r="156">
      <c r="U156" s="46"/>
      <c r="V156" s="47"/>
      <c r="W156" s="47"/>
    </row>
    <row r="157">
      <c r="U157" s="46"/>
      <c r="V157" s="47"/>
      <c r="W157" s="47"/>
    </row>
    <row r="158">
      <c r="U158" s="46"/>
      <c r="V158" s="47"/>
      <c r="W158" s="47"/>
    </row>
    <row r="159">
      <c r="U159" s="46"/>
      <c r="V159" s="47"/>
      <c r="W159" s="47"/>
    </row>
    <row r="160">
      <c r="U160" s="46"/>
      <c r="V160" s="47"/>
      <c r="W160" s="47"/>
    </row>
    <row r="161">
      <c r="U161" s="46"/>
      <c r="V161" s="47"/>
      <c r="W161" s="47"/>
    </row>
    <row r="162">
      <c r="U162" s="46"/>
      <c r="V162" s="47"/>
      <c r="W162" s="47"/>
    </row>
    <row r="163">
      <c r="U163" s="46"/>
      <c r="V163" s="47"/>
      <c r="W163" s="47"/>
    </row>
    <row r="164">
      <c r="U164" s="46"/>
      <c r="V164" s="47"/>
      <c r="W164" s="47"/>
    </row>
    <row r="165">
      <c r="U165" s="46"/>
      <c r="V165" s="47"/>
      <c r="W165" s="47"/>
    </row>
    <row r="166">
      <c r="U166" s="46"/>
      <c r="V166" s="47"/>
      <c r="W166" s="47"/>
    </row>
    <row r="167">
      <c r="U167" s="46"/>
      <c r="V167" s="47"/>
      <c r="W167" s="47"/>
    </row>
    <row r="168">
      <c r="U168" s="46"/>
      <c r="V168" s="47"/>
      <c r="W168" s="47"/>
    </row>
    <row r="169">
      <c r="U169" s="46"/>
      <c r="V169" s="47"/>
      <c r="W169" s="47"/>
    </row>
    <row r="170">
      <c r="U170" s="46"/>
      <c r="V170" s="47"/>
      <c r="W170" s="47"/>
    </row>
    <row r="171">
      <c r="U171" s="46"/>
      <c r="V171" s="47"/>
      <c r="W171" s="47"/>
    </row>
    <row r="172">
      <c r="U172" s="46"/>
      <c r="V172" s="47"/>
      <c r="W172" s="47"/>
    </row>
    <row r="173">
      <c r="U173" s="46"/>
      <c r="V173" s="47"/>
      <c r="W173" s="47"/>
    </row>
    <row r="174">
      <c r="U174" s="46"/>
      <c r="V174" s="47"/>
      <c r="W174" s="47"/>
    </row>
    <row r="175">
      <c r="U175" s="46"/>
      <c r="V175" s="47"/>
      <c r="W175" s="47"/>
    </row>
    <row r="176">
      <c r="U176" s="46"/>
      <c r="V176" s="47"/>
      <c r="W176" s="47"/>
    </row>
    <row r="177">
      <c r="U177" s="46"/>
      <c r="V177" s="47"/>
      <c r="W177" s="47"/>
    </row>
    <row r="178">
      <c r="U178" s="46"/>
      <c r="V178" s="47"/>
      <c r="W178" s="47"/>
    </row>
    <row r="179">
      <c r="U179" s="46"/>
      <c r="V179" s="47"/>
      <c r="W179" s="47"/>
    </row>
    <row r="180">
      <c r="U180" s="46"/>
      <c r="V180" s="47"/>
      <c r="W180" s="47"/>
    </row>
    <row r="181">
      <c r="U181" s="46"/>
      <c r="V181" s="47"/>
      <c r="W181" s="47"/>
    </row>
    <row r="182">
      <c r="U182" s="46"/>
      <c r="V182" s="47"/>
      <c r="W182" s="47"/>
    </row>
    <row r="183">
      <c r="U183" s="46"/>
      <c r="V183" s="47"/>
      <c r="W183" s="47"/>
    </row>
    <row r="184">
      <c r="U184" s="46"/>
      <c r="V184" s="47"/>
      <c r="W184" s="47"/>
    </row>
    <row r="185">
      <c r="U185" s="46"/>
      <c r="V185" s="47"/>
      <c r="W185" s="47"/>
    </row>
    <row r="186">
      <c r="U186" s="46"/>
      <c r="V186" s="47"/>
      <c r="W186" s="47"/>
    </row>
    <row r="187">
      <c r="U187" s="46"/>
      <c r="V187" s="47"/>
      <c r="W187" s="47"/>
    </row>
    <row r="188">
      <c r="U188" s="46"/>
      <c r="V188" s="47"/>
      <c r="W188" s="47"/>
    </row>
    <row r="189">
      <c r="U189" s="46"/>
      <c r="V189" s="47"/>
      <c r="W189" s="47"/>
    </row>
    <row r="190">
      <c r="U190" s="46"/>
      <c r="V190" s="47"/>
      <c r="W190" s="47"/>
    </row>
    <row r="191">
      <c r="U191" s="46"/>
      <c r="V191" s="47"/>
      <c r="W191" s="47"/>
    </row>
    <row r="192">
      <c r="U192" s="46"/>
      <c r="V192" s="47"/>
      <c r="W192" s="47"/>
    </row>
    <row r="193">
      <c r="U193" s="46"/>
      <c r="V193" s="47"/>
      <c r="W193" s="47"/>
    </row>
    <row r="194">
      <c r="U194" s="46"/>
      <c r="V194" s="47"/>
      <c r="W194" s="47"/>
    </row>
    <row r="195">
      <c r="U195" s="46"/>
      <c r="V195" s="47"/>
      <c r="W195" s="47"/>
    </row>
    <row r="196">
      <c r="U196" s="46"/>
      <c r="V196" s="47"/>
      <c r="W196" s="47"/>
    </row>
    <row r="197">
      <c r="U197" s="46"/>
      <c r="V197" s="47"/>
      <c r="W197" s="47"/>
    </row>
    <row r="198">
      <c r="U198" s="46"/>
      <c r="V198" s="47"/>
      <c r="W198" s="47"/>
    </row>
    <row r="199">
      <c r="U199" s="46"/>
      <c r="V199" s="47"/>
      <c r="W199" s="47"/>
    </row>
    <row r="200">
      <c r="U200" s="46"/>
      <c r="V200" s="47"/>
      <c r="W200" s="47"/>
    </row>
    <row r="201">
      <c r="U201" s="46"/>
      <c r="V201" s="47"/>
      <c r="W201" s="47"/>
    </row>
    <row r="202">
      <c r="U202" s="46"/>
      <c r="V202" s="47"/>
      <c r="W202" s="47"/>
    </row>
    <row r="203">
      <c r="U203" s="46"/>
      <c r="V203" s="47"/>
      <c r="W203" s="47"/>
    </row>
    <row r="204">
      <c r="U204" s="46"/>
      <c r="V204" s="47"/>
      <c r="W204" s="47"/>
    </row>
    <row r="205">
      <c r="U205" s="46"/>
      <c r="V205" s="47"/>
      <c r="W205" s="47"/>
    </row>
    <row r="206">
      <c r="U206" s="46"/>
      <c r="V206" s="47"/>
      <c r="W206" s="47"/>
    </row>
    <row r="207">
      <c r="U207" s="46"/>
      <c r="V207" s="47"/>
      <c r="W207" s="47"/>
    </row>
    <row r="208">
      <c r="U208" s="46"/>
      <c r="V208" s="47"/>
      <c r="W208" s="47"/>
    </row>
    <row r="209">
      <c r="U209" s="46"/>
      <c r="V209" s="47"/>
      <c r="W209" s="47"/>
    </row>
    <row r="210">
      <c r="U210" s="46"/>
      <c r="V210" s="47"/>
      <c r="W210" s="47"/>
    </row>
    <row r="211">
      <c r="U211" s="46"/>
      <c r="V211" s="47"/>
      <c r="W211" s="47"/>
    </row>
    <row r="212">
      <c r="U212" s="46"/>
      <c r="V212" s="47"/>
      <c r="W212" s="47"/>
    </row>
    <row r="213">
      <c r="U213" s="46"/>
      <c r="V213" s="47"/>
      <c r="W213" s="47"/>
    </row>
    <row r="214">
      <c r="U214" s="46"/>
      <c r="V214" s="47"/>
      <c r="W214" s="47"/>
    </row>
    <row r="215">
      <c r="U215" s="46"/>
      <c r="V215" s="47"/>
      <c r="W215" s="47"/>
    </row>
    <row r="216">
      <c r="U216" s="46"/>
      <c r="V216" s="47"/>
      <c r="W216" s="47"/>
    </row>
    <row r="217">
      <c r="U217" s="46"/>
      <c r="V217" s="47"/>
      <c r="W217" s="47"/>
    </row>
    <row r="218">
      <c r="U218" s="46"/>
      <c r="V218" s="47"/>
      <c r="W218" s="47"/>
    </row>
    <row r="219">
      <c r="U219" s="46"/>
      <c r="V219" s="47"/>
      <c r="W219" s="47"/>
    </row>
    <row r="220">
      <c r="U220" s="46"/>
      <c r="V220" s="47"/>
      <c r="W220" s="47"/>
    </row>
    <row r="221">
      <c r="U221" s="46"/>
      <c r="V221" s="47"/>
      <c r="W221" s="47"/>
    </row>
    <row r="222">
      <c r="U222" s="46"/>
      <c r="V222" s="47"/>
      <c r="W222" s="47"/>
    </row>
    <row r="223">
      <c r="U223" s="46"/>
      <c r="V223" s="47"/>
      <c r="W223" s="47"/>
    </row>
    <row r="224">
      <c r="U224" s="46"/>
      <c r="V224" s="47"/>
      <c r="W224" s="47"/>
    </row>
    <row r="225">
      <c r="U225" s="46"/>
      <c r="V225" s="47"/>
      <c r="W225" s="47"/>
    </row>
    <row r="226">
      <c r="U226" s="46"/>
      <c r="V226" s="47"/>
      <c r="W226" s="47"/>
    </row>
    <row r="227">
      <c r="U227" s="46"/>
      <c r="V227" s="47"/>
      <c r="W227" s="47"/>
    </row>
    <row r="228">
      <c r="U228" s="46"/>
      <c r="V228" s="47"/>
      <c r="W228" s="47"/>
    </row>
    <row r="229">
      <c r="U229" s="46"/>
      <c r="V229" s="47"/>
      <c r="W229" s="47"/>
    </row>
    <row r="230">
      <c r="U230" s="46"/>
      <c r="V230" s="47"/>
      <c r="W230" s="47"/>
    </row>
    <row r="231">
      <c r="U231" s="46"/>
      <c r="V231" s="47"/>
      <c r="W231" s="47"/>
    </row>
    <row r="232">
      <c r="U232" s="46"/>
      <c r="V232" s="47"/>
      <c r="W232" s="47"/>
    </row>
    <row r="233">
      <c r="U233" s="46"/>
      <c r="V233" s="47"/>
      <c r="W233" s="47"/>
    </row>
    <row r="234">
      <c r="U234" s="46"/>
      <c r="V234" s="47"/>
      <c r="W234" s="47"/>
    </row>
    <row r="235">
      <c r="U235" s="46"/>
      <c r="V235" s="47"/>
      <c r="W235" s="47"/>
    </row>
    <row r="236">
      <c r="U236" s="46"/>
      <c r="V236" s="47"/>
      <c r="W236" s="47"/>
    </row>
    <row r="237">
      <c r="U237" s="46"/>
      <c r="V237" s="47"/>
      <c r="W237" s="47"/>
    </row>
    <row r="238">
      <c r="U238" s="46"/>
      <c r="V238" s="47"/>
      <c r="W238" s="47"/>
    </row>
    <row r="239">
      <c r="U239" s="46"/>
      <c r="V239" s="47"/>
      <c r="W239" s="47"/>
    </row>
    <row r="240">
      <c r="U240" s="46"/>
      <c r="V240" s="47"/>
      <c r="W240" s="47"/>
    </row>
    <row r="241">
      <c r="U241" s="46"/>
      <c r="V241" s="47"/>
      <c r="W241" s="47"/>
    </row>
    <row r="242">
      <c r="U242" s="46"/>
      <c r="V242" s="47"/>
      <c r="W242" s="47"/>
    </row>
    <row r="243">
      <c r="U243" s="46"/>
      <c r="V243" s="47"/>
      <c r="W243" s="47"/>
    </row>
    <row r="244">
      <c r="U244" s="46"/>
      <c r="V244" s="47"/>
      <c r="W244" s="47"/>
    </row>
    <row r="245">
      <c r="U245" s="46"/>
      <c r="V245" s="47"/>
      <c r="W245" s="47"/>
    </row>
    <row r="246">
      <c r="U246" s="46"/>
      <c r="V246" s="47"/>
      <c r="W246" s="47"/>
    </row>
    <row r="247">
      <c r="U247" s="46"/>
      <c r="V247" s="47"/>
      <c r="W247" s="47"/>
    </row>
    <row r="248">
      <c r="U248" s="46"/>
      <c r="V248" s="47"/>
      <c r="W248" s="47"/>
    </row>
    <row r="249">
      <c r="U249" s="46"/>
      <c r="V249" s="47"/>
      <c r="W249" s="47"/>
    </row>
    <row r="250">
      <c r="U250" s="46"/>
      <c r="V250" s="47"/>
      <c r="W250" s="47"/>
    </row>
    <row r="251">
      <c r="U251" s="46"/>
      <c r="V251" s="47"/>
      <c r="W251" s="47"/>
    </row>
    <row r="252">
      <c r="U252" s="46"/>
      <c r="V252" s="47"/>
      <c r="W252" s="47"/>
    </row>
    <row r="253">
      <c r="U253" s="46"/>
      <c r="V253" s="47"/>
      <c r="W253" s="47"/>
    </row>
    <row r="254">
      <c r="U254" s="46"/>
      <c r="V254" s="47"/>
      <c r="W254" s="47"/>
    </row>
    <row r="255">
      <c r="U255" s="46"/>
      <c r="V255" s="47"/>
      <c r="W255" s="47"/>
    </row>
    <row r="256">
      <c r="U256" s="46"/>
      <c r="V256" s="47"/>
      <c r="W256" s="47"/>
    </row>
    <row r="257">
      <c r="U257" s="46"/>
      <c r="V257" s="47"/>
      <c r="W257" s="47"/>
    </row>
    <row r="258">
      <c r="U258" s="46"/>
      <c r="V258" s="47"/>
      <c r="W258" s="47"/>
    </row>
    <row r="259">
      <c r="U259" s="46"/>
      <c r="V259" s="47"/>
      <c r="W259" s="47"/>
    </row>
    <row r="260">
      <c r="U260" s="46"/>
      <c r="V260" s="47"/>
      <c r="W260" s="47"/>
    </row>
    <row r="261">
      <c r="U261" s="46"/>
      <c r="V261" s="47"/>
      <c r="W261" s="47"/>
    </row>
    <row r="262">
      <c r="U262" s="46"/>
      <c r="V262" s="47"/>
      <c r="W262" s="47"/>
    </row>
    <row r="263">
      <c r="U263" s="46"/>
      <c r="V263" s="47"/>
      <c r="W263" s="47"/>
    </row>
    <row r="264">
      <c r="U264" s="46"/>
      <c r="V264" s="47"/>
      <c r="W264" s="47"/>
    </row>
    <row r="265">
      <c r="U265" s="46"/>
      <c r="V265" s="47"/>
      <c r="W265" s="47"/>
    </row>
    <row r="266">
      <c r="U266" s="46"/>
      <c r="V266" s="47"/>
      <c r="W266" s="47"/>
    </row>
    <row r="267">
      <c r="U267" s="46"/>
      <c r="V267" s="47"/>
      <c r="W267" s="47"/>
    </row>
    <row r="268">
      <c r="U268" s="46"/>
      <c r="V268" s="47"/>
      <c r="W268" s="47"/>
    </row>
    <row r="269">
      <c r="U269" s="46"/>
      <c r="V269" s="47"/>
      <c r="W269" s="47"/>
    </row>
    <row r="270">
      <c r="U270" s="46"/>
      <c r="V270" s="47"/>
      <c r="W270" s="47"/>
    </row>
    <row r="271">
      <c r="U271" s="46"/>
      <c r="V271" s="47"/>
      <c r="W271" s="47"/>
    </row>
    <row r="272">
      <c r="U272" s="46"/>
      <c r="V272" s="47"/>
      <c r="W272" s="47"/>
    </row>
    <row r="273">
      <c r="U273" s="46"/>
      <c r="V273" s="47"/>
      <c r="W273" s="47"/>
    </row>
    <row r="274">
      <c r="U274" s="46"/>
      <c r="V274" s="47"/>
      <c r="W274" s="47"/>
    </row>
    <row r="275">
      <c r="U275" s="46"/>
      <c r="V275" s="47"/>
      <c r="W275" s="47"/>
    </row>
    <row r="276">
      <c r="U276" s="46"/>
      <c r="V276" s="47"/>
      <c r="W276" s="47"/>
    </row>
    <row r="277">
      <c r="U277" s="46"/>
      <c r="V277" s="47"/>
      <c r="W277" s="47"/>
    </row>
    <row r="278">
      <c r="U278" s="46"/>
      <c r="V278" s="47"/>
      <c r="W278" s="47"/>
    </row>
    <row r="279">
      <c r="U279" s="46"/>
      <c r="V279" s="47"/>
      <c r="W279" s="47"/>
    </row>
    <row r="280">
      <c r="U280" s="46"/>
      <c r="V280" s="47"/>
      <c r="W280" s="47"/>
    </row>
    <row r="281">
      <c r="U281" s="46"/>
      <c r="V281" s="47"/>
      <c r="W281" s="47"/>
    </row>
    <row r="282">
      <c r="U282" s="46"/>
      <c r="V282" s="47"/>
      <c r="W282" s="47"/>
    </row>
    <row r="283">
      <c r="U283" s="46"/>
      <c r="V283" s="47"/>
      <c r="W283" s="47"/>
    </row>
    <row r="284">
      <c r="U284" s="46"/>
      <c r="V284" s="47"/>
      <c r="W284" s="47"/>
    </row>
    <row r="285">
      <c r="U285" s="46"/>
      <c r="V285" s="47"/>
      <c r="W285" s="47"/>
    </row>
    <row r="286">
      <c r="U286" s="46"/>
      <c r="V286" s="47"/>
      <c r="W286" s="47"/>
    </row>
    <row r="287">
      <c r="U287" s="46"/>
      <c r="V287" s="47"/>
      <c r="W287" s="47"/>
    </row>
    <row r="288">
      <c r="U288" s="46"/>
      <c r="V288" s="47"/>
      <c r="W288" s="47"/>
    </row>
    <row r="289">
      <c r="U289" s="46"/>
      <c r="V289" s="47"/>
      <c r="W289" s="47"/>
    </row>
    <row r="290">
      <c r="U290" s="46"/>
      <c r="V290" s="47"/>
      <c r="W290" s="47"/>
    </row>
    <row r="291">
      <c r="U291" s="46"/>
      <c r="V291" s="47"/>
      <c r="W291" s="47"/>
    </row>
    <row r="292">
      <c r="U292" s="46"/>
      <c r="V292" s="47"/>
      <c r="W292" s="47"/>
    </row>
    <row r="293">
      <c r="U293" s="46"/>
      <c r="V293" s="47"/>
      <c r="W293" s="47"/>
    </row>
    <row r="294">
      <c r="U294" s="46"/>
      <c r="V294" s="47"/>
      <c r="W294" s="47"/>
    </row>
    <row r="295">
      <c r="U295" s="46"/>
      <c r="V295" s="47"/>
      <c r="W295" s="47"/>
    </row>
    <row r="296">
      <c r="U296" s="46"/>
      <c r="V296" s="47"/>
      <c r="W296" s="47"/>
    </row>
    <row r="297">
      <c r="U297" s="46"/>
      <c r="V297" s="47"/>
      <c r="W297" s="47"/>
    </row>
    <row r="298">
      <c r="U298" s="46"/>
      <c r="V298" s="47"/>
      <c r="W298" s="47"/>
    </row>
    <row r="299">
      <c r="U299" s="46"/>
      <c r="V299" s="47"/>
      <c r="W299" s="47"/>
    </row>
    <row r="300">
      <c r="U300" s="46"/>
      <c r="V300" s="47"/>
      <c r="W300" s="47"/>
    </row>
    <row r="301">
      <c r="U301" s="46"/>
      <c r="V301" s="47"/>
      <c r="W301" s="47"/>
    </row>
    <row r="302">
      <c r="U302" s="46"/>
      <c r="V302" s="47"/>
      <c r="W302" s="47"/>
    </row>
    <row r="303">
      <c r="U303" s="46"/>
      <c r="V303" s="47"/>
      <c r="W303" s="47"/>
    </row>
    <row r="304">
      <c r="U304" s="46"/>
      <c r="V304" s="47"/>
      <c r="W304" s="47"/>
    </row>
    <row r="305">
      <c r="U305" s="46"/>
      <c r="V305" s="47"/>
      <c r="W305" s="47"/>
    </row>
    <row r="306">
      <c r="U306" s="46"/>
      <c r="V306" s="47"/>
      <c r="W306" s="47"/>
    </row>
    <row r="307">
      <c r="U307" s="46"/>
      <c r="V307" s="47"/>
      <c r="W307" s="47"/>
    </row>
    <row r="308">
      <c r="U308" s="46"/>
      <c r="V308" s="47"/>
      <c r="W308" s="47"/>
    </row>
    <row r="309">
      <c r="U309" s="46"/>
      <c r="V309" s="47"/>
      <c r="W309" s="47"/>
    </row>
    <row r="310">
      <c r="U310" s="46"/>
      <c r="V310" s="47"/>
      <c r="W310" s="47"/>
    </row>
    <row r="311">
      <c r="U311" s="46"/>
      <c r="V311" s="47"/>
      <c r="W311" s="47"/>
    </row>
    <row r="312">
      <c r="U312" s="46"/>
      <c r="V312" s="47"/>
      <c r="W312" s="47"/>
    </row>
    <row r="313">
      <c r="U313" s="46"/>
      <c r="V313" s="47"/>
      <c r="W313" s="47"/>
    </row>
    <row r="314">
      <c r="U314" s="46"/>
      <c r="V314" s="47"/>
      <c r="W314" s="47"/>
    </row>
    <row r="315">
      <c r="U315" s="46"/>
      <c r="V315" s="47"/>
      <c r="W315" s="47"/>
    </row>
    <row r="316">
      <c r="U316" s="46"/>
      <c r="V316" s="47"/>
      <c r="W316" s="47"/>
    </row>
    <row r="317">
      <c r="U317" s="46"/>
      <c r="V317" s="47"/>
      <c r="W317" s="47"/>
    </row>
    <row r="318">
      <c r="U318" s="46"/>
      <c r="V318" s="47"/>
      <c r="W318" s="47"/>
    </row>
    <row r="319">
      <c r="U319" s="46"/>
      <c r="V319" s="47"/>
      <c r="W319" s="47"/>
    </row>
    <row r="320">
      <c r="U320" s="46"/>
      <c r="V320" s="47"/>
      <c r="W320" s="47"/>
    </row>
    <row r="321">
      <c r="U321" s="46"/>
      <c r="V321" s="47"/>
      <c r="W321" s="47"/>
    </row>
    <row r="322">
      <c r="U322" s="46"/>
      <c r="V322" s="47"/>
      <c r="W322" s="47"/>
    </row>
    <row r="323">
      <c r="U323" s="46"/>
      <c r="V323" s="47"/>
      <c r="W323" s="47"/>
    </row>
    <row r="324">
      <c r="U324" s="46"/>
      <c r="V324" s="47"/>
      <c r="W324" s="47"/>
    </row>
    <row r="325">
      <c r="U325" s="46"/>
      <c r="V325" s="47"/>
      <c r="W325" s="47"/>
    </row>
    <row r="326">
      <c r="U326" s="46"/>
      <c r="V326" s="47"/>
      <c r="W326" s="47"/>
    </row>
    <row r="327">
      <c r="U327" s="46"/>
      <c r="V327" s="47"/>
      <c r="W327" s="47"/>
    </row>
    <row r="328">
      <c r="U328" s="46"/>
      <c r="V328" s="47"/>
      <c r="W328" s="47"/>
    </row>
    <row r="329">
      <c r="U329" s="46"/>
      <c r="V329" s="47"/>
      <c r="W329" s="47"/>
    </row>
    <row r="330">
      <c r="U330" s="46"/>
      <c r="V330" s="47"/>
      <c r="W330" s="47"/>
    </row>
    <row r="331">
      <c r="U331" s="46"/>
      <c r="V331" s="47"/>
      <c r="W331" s="47"/>
    </row>
    <row r="332">
      <c r="U332" s="46"/>
      <c r="V332" s="47"/>
      <c r="W332" s="47"/>
    </row>
    <row r="333">
      <c r="U333" s="46"/>
      <c r="V333" s="47"/>
      <c r="W333" s="47"/>
    </row>
    <row r="334">
      <c r="U334" s="46"/>
      <c r="V334" s="47"/>
      <c r="W334" s="47"/>
    </row>
    <row r="335">
      <c r="U335" s="46"/>
      <c r="V335" s="47"/>
      <c r="W335" s="47"/>
    </row>
    <row r="336">
      <c r="U336" s="46"/>
      <c r="V336" s="47"/>
      <c r="W336" s="47"/>
    </row>
    <row r="337">
      <c r="U337" s="46"/>
      <c r="V337" s="47"/>
      <c r="W337" s="47"/>
    </row>
    <row r="338">
      <c r="U338" s="46"/>
      <c r="V338" s="47"/>
      <c r="W338" s="47"/>
    </row>
    <row r="339">
      <c r="U339" s="46"/>
      <c r="V339" s="47"/>
      <c r="W339" s="47"/>
    </row>
    <row r="340">
      <c r="U340" s="46"/>
      <c r="V340" s="47"/>
      <c r="W340" s="47"/>
    </row>
    <row r="341">
      <c r="U341" s="46"/>
      <c r="V341" s="47"/>
      <c r="W341" s="47"/>
    </row>
    <row r="342">
      <c r="U342" s="46"/>
      <c r="V342" s="47"/>
      <c r="W342" s="47"/>
    </row>
    <row r="343">
      <c r="U343" s="46"/>
      <c r="V343" s="47"/>
      <c r="W343" s="47"/>
    </row>
    <row r="344">
      <c r="U344" s="46"/>
      <c r="V344" s="47"/>
      <c r="W344" s="47"/>
    </row>
    <row r="345">
      <c r="U345" s="46"/>
      <c r="V345" s="47"/>
      <c r="W345" s="47"/>
    </row>
    <row r="346">
      <c r="U346" s="46"/>
      <c r="V346" s="47"/>
      <c r="W346" s="47"/>
    </row>
    <row r="347">
      <c r="U347" s="46"/>
      <c r="V347" s="47"/>
      <c r="W347" s="47"/>
    </row>
    <row r="348">
      <c r="U348" s="46"/>
      <c r="V348" s="47"/>
      <c r="W348" s="47"/>
    </row>
    <row r="349">
      <c r="U349" s="46"/>
      <c r="V349" s="47"/>
      <c r="W349" s="47"/>
    </row>
    <row r="350">
      <c r="U350" s="46"/>
      <c r="V350" s="47"/>
      <c r="W350" s="47"/>
    </row>
    <row r="351">
      <c r="U351" s="46"/>
      <c r="V351" s="47"/>
      <c r="W351" s="47"/>
    </row>
    <row r="352">
      <c r="U352" s="46"/>
      <c r="V352" s="47"/>
      <c r="W352" s="47"/>
    </row>
    <row r="353">
      <c r="U353" s="46"/>
      <c r="V353" s="47"/>
      <c r="W353" s="47"/>
    </row>
    <row r="354">
      <c r="U354" s="46"/>
      <c r="V354" s="47"/>
      <c r="W354" s="47"/>
    </row>
    <row r="355">
      <c r="U355" s="46"/>
      <c r="V355" s="47"/>
      <c r="W355" s="47"/>
    </row>
    <row r="356">
      <c r="U356" s="46"/>
      <c r="V356" s="47"/>
      <c r="W356" s="47"/>
    </row>
    <row r="357">
      <c r="U357" s="46"/>
      <c r="V357" s="47"/>
      <c r="W357" s="47"/>
    </row>
    <row r="358">
      <c r="U358" s="46"/>
      <c r="V358" s="47"/>
      <c r="W358" s="47"/>
    </row>
    <row r="359">
      <c r="U359" s="46"/>
      <c r="V359" s="47"/>
      <c r="W359" s="47"/>
    </row>
    <row r="360">
      <c r="U360" s="46"/>
      <c r="V360" s="47"/>
      <c r="W360" s="47"/>
    </row>
    <row r="361">
      <c r="U361" s="46"/>
      <c r="V361" s="47"/>
      <c r="W361" s="47"/>
    </row>
    <row r="362">
      <c r="U362" s="46"/>
      <c r="V362" s="47"/>
      <c r="W362" s="47"/>
    </row>
    <row r="363">
      <c r="U363" s="46"/>
      <c r="V363" s="47"/>
      <c r="W363" s="47"/>
    </row>
    <row r="364">
      <c r="U364" s="46"/>
      <c r="V364" s="47"/>
      <c r="W364" s="47"/>
    </row>
    <row r="365">
      <c r="U365" s="46"/>
      <c r="V365" s="47"/>
      <c r="W365" s="47"/>
    </row>
    <row r="366">
      <c r="U366" s="46"/>
      <c r="V366" s="47"/>
      <c r="W366" s="47"/>
    </row>
    <row r="367">
      <c r="U367" s="46"/>
      <c r="V367" s="47"/>
      <c r="W367" s="47"/>
    </row>
    <row r="368">
      <c r="U368" s="46"/>
      <c r="V368" s="47"/>
      <c r="W368" s="47"/>
    </row>
    <row r="369">
      <c r="U369" s="46"/>
      <c r="V369" s="47"/>
      <c r="W369" s="47"/>
    </row>
    <row r="370">
      <c r="U370" s="46"/>
      <c r="V370" s="47"/>
      <c r="W370" s="47"/>
    </row>
    <row r="371">
      <c r="U371" s="46"/>
      <c r="V371" s="47"/>
      <c r="W371" s="47"/>
    </row>
    <row r="372">
      <c r="U372" s="46"/>
      <c r="V372" s="47"/>
      <c r="W372" s="47"/>
    </row>
    <row r="373">
      <c r="U373" s="46"/>
      <c r="V373" s="47"/>
      <c r="W373" s="47"/>
    </row>
    <row r="374">
      <c r="U374" s="46"/>
      <c r="V374" s="47"/>
      <c r="W374" s="47"/>
    </row>
    <row r="375">
      <c r="U375" s="46"/>
      <c r="V375" s="47"/>
      <c r="W375" s="47"/>
    </row>
    <row r="376">
      <c r="U376" s="46"/>
      <c r="V376" s="47"/>
      <c r="W376" s="47"/>
    </row>
    <row r="377">
      <c r="U377" s="46"/>
      <c r="V377" s="47"/>
      <c r="W377" s="47"/>
    </row>
    <row r="378">
      <c r="U378" s="46"/>
      <c r="V378" s="47"/>
      <c r="W378" s="47"/>
    </row>
    <row r="379">
      <c r="U379" s="46"/>
      <c r="V379" s="47"/>
      <c r="W379" s="47"/>
    </row>
    <row r="380">
      <c r="U380" s="46"/>
      <c r="V380" s="47"/>
      <c r="W380" s="47"/>
    </row>
    <row r="381">
      <c r="U381" s="46"/>
      <c r="V381" s="47"/>
      <c r="W381" s="47"/>
    </row>
    <row r="382">
      <c r="U382" s="46"/>
      <c r="V382" s="47"/>
      <c r="W382" s="47"/>
    </row>
    <row r="383">
      <c r="U383" s="46"/>
      <c r="V383" s="47"/>
      <c r="W383" s="47"/>
    </row>
    <row r="384">
      <c r="U384" s="46"/>
      <c r="V384" s="47"/>
      <c r="W384" s="47"/>
    </row>
    <row r="385">
      <c r="U385" s="46"/>
      <c r="V385" s="47"/>
      <c r="W385" s="47"/>
    </row>
    <row r="386">
      <c r="U386" s="46"/>
      <c r="V386" s="47"/>
      <c r="W386" s="47"/>
    </row>
    <row r="387">
      <c r="U387" s="46"/>
      <c r="V387" s="47"/>
      <c r="W387" s="47"/>
    </row>
    <row r="388">
      <c r="U388" s="46"/>
      <c r="V388" s="47"/>
      <c r="W388" s="47"/>
    </row>
    <row r="389">
      <c r="U389" s="46"/>
      <c r="V389" s="47"/>
      <c r="W389" s="47"/>
    </row>
    <row r="390">
      <c r="U390" s="46"/>
      <c r="V390" s="47"/>
      <c r="W390" s="47"/>
    </row>
    <row r="391">
      <c r="U391" s="46"/>
      <c r="V391" s="47"/>
      <c r="W391" s="47"/>
    </row>
    <row r="392">
      <c r="U392" s="46"/>
      <c r="V392" s="47"/>
      <c r="W392" s="47"/>
    </row>
    <row r="393">
      <c r="U393" s="46"/>
      <c r="V393" s="47"/>
      <c r="W393" s="47"/>
    </row>
    <row r="394">
      <c r="U394" s="46"/>
      <c r="V394" s="47"/>
      <c r="W394" s="47"/>
    </row>
    <row r="395">
      <c r="U395" s="46"/>
      <c r="V395" s="47"/>
      <c r="W395" s="47"/>
    </row>
    <row r="396">
      <c r="U396" s="46"/>
      <c r="V396" s="47"/>
      <c r="W396" s="47"/>
    </row>
    <row r="397">
      <c r="U397" s="46"/>
      <c r="V397" s="47"/>
      <c r="W397" s="47"/>
    </row>
    <row r="398">
      <c r="U398" s="46"/>
      <c r="V398" s="47"/>
      <c r="W398" s="47"/>
    </row>
    <row r="399">
      <c r="U399" s="46"/>
      <c r="V399" s="47"/>
      <c r="W399" s="47"/>
    </row>
    <row r="400">
      <c r="U400" s="46"/>
      <c r="V400" s="47"/>
      <c r="W400" s="47"/>
    </row>
    <row r="401">
      <c r="U401" s="46"/>
      <c r="V401" s="47"/>
      <c r="W401" s="47"/>
    </row>
    <row r="402">
      <c r="U402" s="46"/>
      <c r="V402" s="47"/>
      <c r="W402" s="47"/>
    </row>
    <row r="403">
      <c r="U403" s="46"/>
      <c r="V403" s="47"/>
      <c r="W403" s="47"/>
    </row>
    <row r="404">
      <c r="U404" s="46"/>
      <c r="V404" s="47"/>
      <c r="W404" s="47"/>
    </row>
    <row r="405">
      <c r="U405" s="46"/>
      <c r="V405" s="47"/>
      <c r="W405" s="47"/>
    </row>
    <row r="406">
      <c r="U406" s="46"/>
      <c r="V406" s="47"/>
      <c r="W406" s="47"/>
    </row>
    <row r="407">
      <c r="U407" s="46"/>
      <c r="V407" s="47"/>
      <c r="W407" s="47"/>
    </row>
    <row r="408">
      <c r="U408" s="46"/>
      <c r="V408" s="47"/>
      <c r="W408" s="47"/>
    </row>
    <row r="409">
      <c r="U409" s="46"/>
      <c r="V409" s="47"/>
      <c r="W409" s="47"/>
    </row>
    <row r="410">
      <c r="U410" s="46"/>
      <c r="V410" s="47"/>
      <c r="W410" s="47"/>
    </row>
    <row r="411">
      <c r="U411" s="46"/>
      <c r="V411" s="47"/>
      <c r="W411" s="47"/>
    </row>
    <row r="412">
      <c r="U412" s="46"/>
      <c r="V412" s="47"/>
      <c r="W412" s="47"/>
    </row>
    <row r="413">
      <c r="U413" s="46"/>
      <c r="V413" s="47"/>
      <c r="W413" s="47"/>
    </row>
    <row r="414">
      <c r="U414" s="46"/>
      <c r="V414" s="47"/>
      <c r="W414" s="47"/>
    </row>
    <row r="415">
      <c r="U415" s="46"/>
      <c r="V415" s="47"/>
      <c r="W415" s="47"/>
    </row>
    <row r="416">
      <c r="U416" s="46"/>
      <c r="V416" s="47"/>
      <c r="W416" s="47"/>
    </row>
    <row r="417">
      <c r="U417" s="46"/>
      <c r="V417" s="47"/>
      <c r="W417" s="47"/>
    </row>
    <row r="418">
      <c r="U418" s="46"/>
      <c r="V418" s="47"/>
      <c r="W418" s="47"/>
    </row>
    <row r="419">
      <c r="U419" s="46"/>
      <c r="V419" s="47"/>
      <c r="W419" s="47"/>
    </row>
    <row r="420">
      <c r="U420" s="46"/>
      <c r="V420" s="47"/>
      <c r="W420" s="47"/>
    </row>
    <row r="421">
      <c r="U421" s="46"/>
      <c r="V421" s="47"/>
      <c r="W421" s="47"/>
    </row>
    <row r="422">
      <c r="U422" s="46"/>
      <c r="V422" s="47"/>
      <c r="W422" s="47"/>
    </row>
    <row r="423">
      <c r="U423" s="46"/>
      <c r="V423" s="47"/>
      <c r="W423" s="47"/>
    </row>
    <row r="424">
      <c r="U424" s="46"/>
      <c r="V424" s="47"/>
      <c r="W424" s="47"/>
    </row>
    <row r="425">
      <c r="U425" s="46"/>
      <c r="V425" s="47"/>
      <c r="W425" s="47"/>
    </row>
    <row r="426">
      <c r="U426" s="46"/>
      <c r="V426" s="47"/>
      <c r="W426" s="47"/>
    </row>
    <row r="427">
      <c r="U427" s="46"/>
      <c r="V427" s="47"/>
      <c r="W427" s="47"/>
    </row>
    <row r="428">
      <c r="U428" s="46"/>
      <c r="V428" s="47"/>
      <c r="W428" s="47"/>
    </row>
    <row r="429">
      <c r="U429" s="46"/>
      <c r="V429" s="47"/>
      <c r="W429" s="47"/>
    </row>
    <row r="430">
      <c r="U430" s="46"/>
      <c r="V430" s="47"/>
      <c r="W430" s="47"/>
    </row>
    <row r="431">
      <c r="U431" s="46"/>
      <c r="V431" s="47"/>
      <c r="W431" s="47"/>
    </row>
    <row r="432">
      <c r="U432" s="46"/>
      <c r="V432" s="47"/>
      <c r="W432" s="47"/>
    </row>
    <row r="433">
      <c r="U433" s="46"/>
      <c r="V433" s="47"/>
      <c r="W433" s="47"/>
    </row>
    <row r="434">
      <c r="U434" s="46"/>
      <c r="V434" s="47"/>
      <c r="W434" s="47"/>
    </row>
    <row r="435">
      <c r="U435" s="46"/>
      <c r="V435" s="47"/>
      <c r="W435" s="47"/>
    </row>
    <row r="436">
      <c r="U436" s="46"/>
      <c r="V436" s="47"/>
      <c r="W436" s="47"/>
    </row>
    <row r="437">
      <c r="U437" s="46"/>
      <c r="V437" s="47"/>
      <c r="W437" s="47"/>
    </row>
    <row r="438">
      <c r="U438" s="46"/>
      <c r="V438" s="47"/>
      <c r="W438" s="47"/>
    </row>
    <row r="439">
      <c r="U439" s="46"/>
      <c r="V439" s="47"/>
      <c r="W439" s="47"/>
    </row>
    <row r="440">
      <c r="U440" s="46"/>
      <c r="V440" s="47"/>
      <c r="W440" s="47"/>
    </row>
    <row r="441">
      <c r="U441" s="46"/>
      <c r="V441" s="47"/>
      <c r="W441" s="47"/>
    </row>
    <row r="442">
      <c r="U442" s="46"/>
      <c r="V442" s="47"/>
      <c r="W442" s="47"/>
    </row>
    <row r="443">
      <c r="U443" s="46"/>
      <c r="V443" s="47"/>
      <c r="W443" s="47"/>
    </row>
    <row r="444">
      <c r="U444" s="46"/>
      <c r="V444" s="47"/>
      <c r="W444" s="47"/>
    </row>
    <row r="445">
      <c r="U445" s="46"/>
      <c r="V445" s="47"/>
      <c r="W445" s="47"/>
    </row>
    <row r="446">
      <c r="U446" s="46"/>
      <c r="V446" s="47"/>
      <c r="W446" s="47"/>
    </row>
    <row r="447">
      <c r="U447" s="46"/>
      <c r="V447" s="47"/>
      <c r="W447" s="47"/>
    </row>
    <row r="448">
      <c r="U448" s="46"/>
      <c r="V448" s="47"/>
      <c r="W448" s="47"/>
    </row>
    <row r="449">
      <c r="U449" s="46"/>
      <c r="V449" s="47"/>
      <c r="W449" s="47"/>
    </row>
    <row r="450">
      <c r="U450" s="46"/>
      <c r="V450" s="47"/>
      <c r="W450" s="47"/>
    </row>
    <row r="451">
      <c r="U451" s="46"/>
      <c r="V451" s="47"/>
      <c r="W451" s="47"/>
    </row>
    <row r="452">
      <c r="U452" s="46"/>
      <c r="V452" s="47"/>
      <c r="W452" s="47"/>
    </row>
    <row r="453">
      <c r="U453" s="46"/>
      <c r="V453" s="47"/>
      <c r="W453" s="47"/>
    </row>
    <row r="454">
      <c r="U454" s="46"/>
      <c r="V454" s="47"/>
      <c r="W454" s="47"/>
    </row>
    <row r="455">
      <c r="U455" s="46"/>
      <c r="V455" s="47"/>
      <c r="W455" s="47"/>
    </row>
    <row r="456">
      <c r="U456" s="46"/>
      <c r="V456" s="47"/>
      <c r="W456" s="47"/>
    </row>
    <row r="457">
      <c r="U457" s="46"/>
      <c r="V457" s="47"/>
      <c r="W457" s="47"/>
    </row>
    <row r="458">
      <c r="U458" s="46"/>
      <c r="V458" s="47"/>
      <c r="W458" s="47"/>
    </row>
    <row r="459">
      <c r="U459" s="46"/>
      <c r="V459" s="47"/>
      <c r="W459" s="47"/>
    </row>
    <row r="460">
      <c r="U460" s="46"/>
      <c r="V460" s="47"/>
      <c r="W460" s="47"/>
    </row>
    <row r="461">
      <c r="U461" s="46"/>
      <c r="V461" s="47"/>
      <c r="W461" s="47"/>
    </row>
    <row r="462">
      <c r="U462" s="46"/>
      <c r="V462" s="47"/>
      <c r="W462" s="47"/>
    </row>
    <row r="463">
      <c r="U463" s="46"/>
      <c r="V463" s="47"/>
      <c r="W463" s="47"/>
    </row>
    <row r="464">
      <c r="U464" s="46"/>
      <c r="V464" s="47"/>
      <c r="W464" s="47"/>
    </row>
    <row r="465">
      <c r="U465" s="46"/>
      <c r="V465" s="47"/>
      <c r="W465" s="47"/>
    </row>
    <row r="466">
      <c r="U466" s="46"/>
      <c r="V466" s="47"/>
      <c r="W466" s="47"/>
    </row>
    <row r="467">
      <c r="U467" s="46"/>
      <c r="V467" s="47"/>
      <c r="W467" s="47"/>
    </row>
    <row r="468">
      <c r="U468" s="46"/>
      <c r="V468" s="47"/>
      <c r="W468" s="47"/>
    </row>
    <row r="469">
      <c r="U469" s="46"/>
      <c r="V469" s="47"/>
      <c r="W469" s="47"/>
    </row>
    <row r="470">
      <c r="U470" s="46"/>
      <c r="V470" s="47"/>
      <c r="W470" s="47"/>
    </row>
    <row r="471">
      <c r="U471" s="46"/>
      <c r="V471" s="47"/>
      <c r="W471" s="47"/>
    </row>
    <row r="472">
      <c r="U472" s="46"/>
      <c r="V472" s="47"/>
      <c r="W472" s="47"/>
    </row>
    <row r="473">
      <c r="U473" s="46"/>
      <c r="V473" s="47"/>
      <c r="W473" s="47"/>
    </row>
    <row r="474">
      <c r="U474" s="46"/>
      <c r="V474" s="47"/>
      <c r="W474" s="47"/>
    </row>
    <row r="475">
      <c r="U475" s="46"/>
      <c r="V475" s="47"/>
      <c r="W475" s="47"/>
    </row>
    <row r="476">
      <c r="U476" s="46"/>
      <c r="V476" s="47"/>
      <c r="W476" s="47"/>
    </row>
    <row r="477">
      <c r="U477" s="46"/>
      <c r="V477" s="47"/>
      <c r="W477" s="47"/>
    </row>
    <row r="478">
      <c r="U478" s="46"/>
      <c r="V478" s="47"/>
      <c r="W478" s="47"/>
    </row>
    <row r="479">
      <c r="U479" s="46"/>
      <c r="V479" s="47"/>
      <c r="W479" s="47"/>
    </row>
    <row r="480">
      <c r="U480" s="46"/>
      <c r="V480" s="47"/>
      <c r="W480" s="47"/>
    </row>
    <row r="481">
      <c r="U481" s="46"/>
      <c r="V481" s="47"/>
      <c r="W481" s="47"/>
    </row>
    <row r="482">
      <c r="U482" s="46"/>
      <c r="V482" s="47"/>
      <c r="W482" s="47"/>
    </row>
    <row r="483">
      <c r="U483" s="46"/>
      <c r="V483" s="47"/>
      <c r="W483" s="47"/>
    </row>
    <row r="484">
      <c r="U484" s="46"/>
      <c r="V484" s="47"/>
      <c r="W484" s="47"/>
    </row>
    <row r="485">
      <c r="U485" s="46"/>
      <c r="V485" s="47"/>
      <c r="W485" s="47"/>
    </row>
    <row r="486">
      <c r="U486" s="46"/>
      <c r="V486" s="47"/>
      <c r="W486" s="47"/>
    </row>
    <row r="487">
      <c r="U487" s="46"/>
      <c r="V487" s="47"/>
      <c r="W487" s="47"/>
    </row>
    <row r="488">
      <c r="U488" s="46"/>
      <c r="V488" s="47"/>
      <c r="W488" s="47"/>
    </row>
    <row r="489">
      <c r="U489" s="46"/>
      <c r="V489" s="47"/>
      <c r="W489" s="47"/>
    </row>
    <row r="490">
      <c r="U490" s="46"/>
      <c r="V490" s="47"/>
      <c r="W490" s="47"/>
    </row>
    <row r="491">
      <c r="U491" s="46"/>
      <c r="V491" s="47"/>
      <c r="W491" s="47"/>
    </row>
    <row r="492">
      <c r="U492" s="46"/>
      <c r="V492" s="47"/>
      <c r="W492" s="47"/>
    </row>
    <row r="493">
      <c r="U493" s="46"/>
      <c r="V493" s="47"/>
      <c r="W493" s="47"/>
    </row>
    <row r="494">
      <c r="U494" s="46"/>
      <c r="V494" s="47"/>
      <c r="W494" s="47"/>
    </row>
    <row r="495">
      <c r="U495" s="46"/>
      <c r="V495" s="47"/>
      <c r="W495" s="47"/>
    </row>
    <row r="496">
      <c r="U496" s="46"/>
      <c r="V496" s="47"/>
      <c r="W496" s="47"/>
    </row>
    <row r="497">
      <c r="U497" s="46"/>
      <c r="V497" s="47"/>
      <c r="W497" s="47"/>
    </row>
    <row r="498">
      <c r="U498" s="46"/>
      <c r="V498" s="47"/>
      <c r="W498" s="47"/>
    </row>
    <row r="499">
      <c r="U499" s="46"/>
      <c r="V499" s="47"/>
      <c r="W499" s="47"/>
    </row>
    <row r="500">
      <c r="U500" s="46"/>
      <c r="V500" s="47"/>
      <c r="W500" s="47"/>
    </row>
    <row r="501">
      <c r="U501" s="46"/>
      <c r="V501" s="47"/>
      <c r="W501" s="47"/>
    </row>
    <row r="502">
      <c r="U502" s="46"/>
      <c r="V502" s="47"/>
      <c r="W502" s="47"/>
    </row>
    <row r="503">
      <c r="U503" s="46"/>
      <c r="V503" s="47"/>
      <c r="W503" s="47"/>
    </row>
    <row r="504">
      <c r="U504" s="46"/>
      <c r="V504" s="47"/>
      <c r="W504" s="47"/>
    </row>
    <row r="505">
      <c r="U505" s="46"/>
      <c r="V505" s="47"/>
      <c r="W505" s="47"/>
    </row>
    <row r="506">
      <c r="U506" s="46"/>
      <c r="V506" s="47"/>
      <c r="W506" s="47"/>
    </row>
    <row r="507">
      <c r="U507" s="46"/>
      <c r="V507" s="47"/>
      <c r="W507" s="47"/>
    </row>
    <row r="508">
      <c r="U508" s="46"/>
      <c r="V508" s="47"/>
      <c r="W508" s="47"/>
    </row>
    <row r="509">
      <c r="U509" s="46"/>
      <c r="V509" s="47"/>
      <c r="W509" s="47"/>
    </row>
    <row r="510">
      <c r="U510" s="46"/>
      <c r="V510" s="47"/>
      <c r="W510" s="47"/>
    </row>
    <row r="511">
      <c r="U511" s="46"/>
      <c r="V511" s="47"/>
      <c r="W511" s="47"/>
    </row>
    <row r="512">
      <c r="U512" s="46"/>
      <c r="V512" s="47"/>
      <c r="W512" s="47"/>
    </row>
    <row r="513">
      <c r="U513" s="46"/>
      <c r="V513" s="47"/>
      <c r="W513" s="47"/>
    </row>
    <row r="514">
      <c r="U514" s="46"/>
      <c r="V514" s="47"/>
      <c r="W514" s="47"/>
    </row>
    <row r="515">
      <c r="U515" s="46"/>
      <c r="V515" s="47"/>
      <c r="W515" s="47"/>
    </row>
    <row r="516">
      <c r="U516" s="46"/>
      <c r="V516" s="47"/>
      <c r="W516" s="47"/>
    </row>
    <row r="517">
      <c r="U517" s="46"/>
      <c r="V517" s="47"/>
      <c r="W517" s="47"/>
    </row>
    <row r="518">
      <c r="U518" s="46"/>
      <c r="V518" s="47"/>
      <c r="W518" s="47"/>
    </row>
    <row r="519">
      <c r="U519" s="46"/>
      <c r="V519" s="47"/>
      <c r="W519" s="47"/>
    </row>
    <row r="520">
      <c r="U520" s="46"/>
      <c r="V520" s="47"/>
      <c r="W520" s="47"/>
    </row>
    <row r="521">
      <c r="U521" s="46"/>
      <c r="V521" s="47"/>
      <c r="W521" s="47"/>
    </row>
    <row r="522">
      <c r="U522" s="46"/>
      <c r="V522" s="47"/>
      <c r="W522" s="47"/>
    </row>
    <row r="523">
      <c r="U523" s="46"/>
      <c r="V523" s="47"/>
      <c r="W523" s="47"/>
    </row>
    <row r="524">
      <c r="U524" s="46"/>
      <c r="V524" s="47"/>
      <c r="W524" s="47"/>
    </row>
    <row r="525">
      <c r="U525" s="46"/>
      <c r="V525" s="47"/>
      <c r="W525" s="47"/>
    </row>
    <row r="526">
      <c r="U526" s="46"/>
      <c r="V526" s="47"/>
      <c r="W526" s="47"/>
    </row>
    <row r="527">
      <c r="U527" s="46"/>
      <c r="V527" s="47"/>
      <c r="W527" s="47"/>
    </row>
    <row r="528">
      <c r="U528" s="46"/>
      <c r="V528" s="47"/>
      <c r="W528" s="47"/>
    </row>
    <row r="529">
      <c r="U529" s="46"/>
      <c r="V529" s="47"/>
      <c r="W529" s="47"/>
    </row>
    <row r="530">
      <c r="U530" s="46"/>
      <c r="V530" s="47"/>
      <c r="W530" s="47"/>
    </row>
    <row r="531">
      <c r="U531" s="46"/>
      <c r="V531" s="47"/>
      <c r="W531" s="47"/>
    </row>
    <row r="532">
      <c r="U532" s="46"/>
      <c r="V532" s="47"/>
      <c r="W532" s="47"/>
    </row>
    <row r="533">
      <c r="U533" s="46"/>
      <c r="V533" s="47"/>
      <c r="W533" s="47"/>
    </row>
    <row r="534">
      <c r="U534" s="46"/>
      <c r="V534" s="47"/>
      <c r="W534" s="47"/>
    </row>
    <row r="535">
      <c r="U535" s="46"/>
      <c r="V535" s="47"/>
      <c r="W535" s="47"/>
    </row>
    <row r="536">
      <c r="U536" s="46"/>
      <c r="V536" s="47"/>
      <c r="W536" s="47"/>
    </row>
    <row r="537">
      <c r="U537" s="46"/>
      <c r="V537" s="47"/>
      <c r="W537" s="47"/>
    </row>
    <row r="538">
      <c r="U538" s="46"/>
      <c r="V538" s="47"/>
      <c r="W538" s="47"/>
    </row>
    <row r="539">
      <c r="U539" s="46"/>
      <c r="V539" s="47"/>
      <c r="W539" s="47"/>
    </row>
    <row r="540">
      <c r="U540" s="46"/>
      <c r="V540" s="47"/>
      <c r="W540" s="47"/>
    </row>
    <row r="541">
      <c r="U541" s="46"/>
      <c r="V541" s="47"/>
      <c r="W541" s="47"/>
    </row>
    <row r="542">
      <c r="U542" s="46"/>
      <c r="V542" s="47"/>
      <c r="W542" s="47"/>
    </row>
    <row r="543">
      <c r="U543" s="46"/>
      <c r="V543" s="47"/>
      <c r="W543" s="47"/>
    </row>
    <row r="544">
      <c r="U544" s="46"/>
      <c r="V544" s="47"/>
      <c r="W544" s="47"/>
    </row>
    <row r="545">
      <c r="U545" s="46"/>
      <c r="V545" s="47"/>
      <c r="W545" s="47"/>
    </row>
    <row r="546">
      <c r="U546" s="46"/>
      <c r="V546" s="47"/>
      <c r="W546" s="47"/>
    </row>
    <row r="547">
      <c r="U547" s="46"/>
      <c r="V547" s="47"/>
      <c r="W547" s="47"/>
    </row>
    <row r="548">
      <c r="U548" s="46"/>
      <c r="V548" s="47"/>
      <c r="W548" s="47"/>
    </row>
    <row r="549">
      <c r="U549" s="46"/>
      <c r="V549" s="47"/>
      <c r="W549" s="47"/>
    </row>
    <row r="550">
      <c r="U550" s="46"/>
      <c r="V550" s="47"/>
      <c r="W550" s="47"/>
    </row>
    <row r="551">
      <c r="U551" s="46"/>
      <c r="V551" s="47"/>
      <c r="W551" s="47"/>
    </row>
    <row r="552">
      <c r="U552" s="46"/>
      <c r="V552" s="47"/>
      <c r="W552" s="47"/>
    </row>
    <row r="553">
      <c r="U553" s="46"/>
      <c r="V553" s="47"/>
      <c r="W553" s="47"/>
    </row>
    <row r="554">
      <c r="U554" s="46"/>
      <c r="V554" s="47"/>
      <c r="W554" s="47"/>
    </row>
    <row r="555">
      <c r="U555" s="46"/>
      <c r="V555" s="47"/>
      <c r="W555" s="47"/>
    </row>
    <row r="556">
      <c r="U556" s="46"/>
      <c r="V556" s="47"/>
      <c r="W556" s="47"/>
    </row>
    <row r="557">
      <c r="U557" s="46"/>
      <c r="V557" s="47"/>
      <c r="W557" s="47"/>
    </row>
    <row r="558">
      <c r="U558" s="46"/>
      <c r="V558" s="47"/>
      <c r="W558" s="47"/>
    </row>
    <row r="559">
      <c r="U559" s="46"/>
      <c r="V559" s="47"/>
      <c r="W559" s="47"/>
    </row>
    <row r="560">
      <c r="U560" s="46"/>
      <c r="V560" s="47"/>
      <c r="W560" s="47"/>
    </row>
    <row r="561">
      <c r="U561" s="46"/>
      <c r="V561" s="47"/>
      <c r="W561" s="47"/>
    </row>
    <row r="562">
      <c r="U562" s="46"/>
      <c r="V562" s="47"/>
      <c r="W562" s="47"/>
    </row>
    <row r="563">
      <c r="U563" s="46"/>
      <c r="V563" s="47"/>
      <c r="W563" s="47"/>
    </row>
    <row r="564">
      <c r="U564" s="46"/>
      <c r="V564" s="47"/>
      <c r="W564" s="47"/>
    </row>
    <row r="565">
      <c r="U565" s="46"/>
      <c r="V565" s="47"/>
      <c r="W565" s="47"/>
    </row>
    <row r="566">
      <c r="U566" s="46"/>
      <c r="V566" s="47"/>
      <c r="W566" s="47"/>
    </row>
    <row r="567">
      <c r="U567" s="46"/>
      <c r="V567" s="47"/>
      <c r="W567" s="47"/>
    </row>
    <row r="568">
      <c r="U568" s="46"/>
      <c r="V568" s="47"/>
      <c r="W568" s="47"/>
    </row>
    <row r="569">
      <c r="U569" s="46"/>
      <c r="V569" s="47"/>
      <c r="W569" s="47"/>
    </row>
    <row r="570">
      <c r="U570" s="46"/>
      <c r="V570" s="47"/>
      <c r="W570" s="47"/>
    </row>
    <row r="571">
      <c r="U571" s="46"/>
      <c r="V571" s="47"/>
      <c r="W571" s="47"/>
    </row>
    <row r="572">
      <c r="U572" s="46"/>
      <c r="V572" s="47"/>
      <c r="W572" s="47"/>
    </row>
    <row r="573">
      <c r="U573" s="46"/>
      <c r="V573" s="47"/>
      <c r="W573" s="47"/>
    </row>
    <row r="574">
      <c r="U574" s="46"/>
      <c r="V574" s="47"/>
      <c r="W574" s="47"/>
    </row>
    <row r="575">
      <c r="U575" s="46"/>
      <c r="V575" s="47"/>
      <c r="W575" s="47"/>
    </row>
    <row r="576">
      <c r="U576" s="46"/>
      <c r="V576" s="47"/>
      <c r="W576" s="47"/>
    </row>
    <row r="577">
      <c r="U577" s="46"/>
      <c r="V577" s="47"/>
      <c r="W577" s="47"/>
    </row>
    <row r="578">
      <c r="U578" s="46"/>
      <c r="V578" s="47"/>
      <c r="W578" s="47"/>
    </row>
    <row r="579">
      <c r="U579" s="46"/>
      <c r="V579" s="47"/>
      <c r="W579" s="47"/>
    </row>
    <row r="580">
      <c r="U580" s="46"/>
      <c r="V580" s="47"/>
      <c r="W580" s="47"/>
    </row>
    <row r="581">
      <c r="U581" s="46"/>
      <c r="V581" s="47"/>
      <c r="W581" s="47"/>
    </row>
    <row r="582">
      <c r="U582" s="46"/>
      <c r="V582" s="47"/>
      <c r="W582" s="47"/>
    </row>
    <row r="583">
      <c r="U583" s="46"/>
      <c r="V583" s="47"/>
      <c r="W583" s="47"/>
    </row>
    <row r="584">
      <c r="U584" s="46"/>
      <c r="V584" s="47"/>
      <c r="W584" s="47"/>
    </row>
    <row r="585">
      <c r="U585" s="46"/>
      <c r="V585" s="47"/>
      <c r="W585" s="47"/>
    </row>
    <row r="586">
      <c r="U586" s="46"/>
      <c r="V586" s="47"/>
      <c r="W586" s="47"/>
    </row>
    <row r="587">
      <c r="U587" s="46"/>
      <c r="V587" s="47"/>
      <c r="W587" s="47"/>
    </row>
    <row r="588">
      <c r="U588" s="46"/>
      <c r="V588" s="47"/>
      <c r="W588" s="47"/>
    </row>
    <row r="589">
      <c r="U589" s="46"/>
      <c r="V589" s="47"/>
      <c r="W589" s="47"/>
    </row>
    <row r="590">
      <c r="U590" s="46"/>
      <c r="V590" s="47"/>
      <c r="W590" s="47"/>
    </row>
    <row r="591">
      <c r="U591" s="46"/>
      <c r="V591" s="47"/>
      <c r="W591" s="47"/>
    </row>
    <row r="592">
      <c r="U592" s="46"/>
      <c r="V592" s="47"/>
      <c r="W592" s="47"/>
    </row>
    <row r="593">
      <c r="U593" s="46"/>
      <c r="V593" s="47"/>
      <c r="W593" s="47"/>
    </row>
    <row r="594">
      <c r="U594" s="46"/>
      <c r="V594" s="47"/>
      <c r="W594" s="47"/>
    </row>
    <row r="595">
      <c r="U595" s="46"/>
      <c r="V595" s="47"/>
      <c r="W595" s="47"/>
    </row>
    <row r="596">
      <c r="U596" s="46"/>
      <c r="V596" s="47"/>
      <c r="W596" s="47"/>
    </row>
    <row r="597">
      <c r="U597" s="46"/>
      <c r="V597" s="47"/>
      <c r="W597" s="47"/>
    </row>
    <row r="598">
      <c r="U598" s="46"/>
      <c r="V598" s="47"/>
      <c r="W598" s="47"/>
    </row>
    <row r="599">
      <c r="U599" s="46"/>
      <c r="V599" s="47"/>
      <c r="W599" s="47"/>
    </row>
    <row r="600">
      <c r="U600" s="46"/>
      <c r="V600" s="47"/>
      <c r="W600" s="47"/>
    </row>
    <row r="601">
      <c r="U601" s="46"/>
      <c r="V601" s="47"/>
      <c r="W601" s="47"/>
    </row>
    <row r="602">
      <c r="U602" s="46"/>
      <c r="V602" s="47"/>
      <c r="W602" s="47"/>
    </row>
    <row r="603">
      <c r="U603" s="46"/>
      <c r="V603" s="47"/>
      <c r="W603" s="47"/>
    </row>
    <row r="604">
      <c r="U604" s="46"/>
      <c r="V604" s="47"/>
      <c r="W604" s="47"/>
    </row>
    <row r="605">
      <c r="U605" s="46"/>
      <c r="V605" s="47"/>
      <c r="W605" s="47"/>
    </row>
    <row r="606">
      <c r="U606" s="46"/>
      <c r="V606" s="47"/>
      <c r="W606" s="47"/>
    </row>
    <row r="607">
      <c r="U607" s="46"/>
      <c r="V607" s="47"/>
      <c r="W607" s="47"/>
    </row>
    <row r="608">
      <c r="U608" s="46"/>
      <c r="V608" s="47"/>
      <c r="W608" s="47"/>
    </row>
    <row r="609">
      <c r="U609" s="46"/>
      <c r="V609" s="47"/>
      <c r="W609" s="47"/>
    </row>
    <row r="610">
      <c r="U610" s="46"/>
      <c r="V610" s="47"/>
      <c r="W610" s="47"/>
    </row>
    <row r="611">
      <c r="U611" s="46"/>
      <c r="V611" s="47"/>
      <c r="W611" s="47"/>
    </row>
    <row r="612">
      <c r="U612" s="46"/>
      <c r="V612" s="47"/>
      <c r="W612" s="47"/>
    </row>
    <row r="613">
      <c r="U613" s="46"/>
      <c r="V613" s="47"/>
      <c r="W613" s="47"/>
    </row>
    <row r="614">
      <c r="U614" s="46"/>
      <c r="V614" s="47"/>
      <c r="W614" s="47"/>
    </row>
    <row r="615">
      <c r="U615" s="46"/>
      <c r="V615" s="47"/>
      <c r="W615" s="47"/>
    </row>
    <row r="616">
      <c r="U616" s="46"/>
      <c r="V616" s="47"/>
      <c r="W616" s="47"/>
    </row>
    <row r="617">
      <c r="U617" s="46"/>
      <c r="V617" s="47"/>
      <c r="W617" s="47"/>
    </row>
    <row r="618">
      <c r="U618" s="46"/>
      <c r="V618" s="47"/>
      <c r="W618" s="47"/>
    </row>
    <row r="619">
      <c r="U619" s="46"/>
      <c r="V619" s="47"/>
      <c r="W619" s="47"/>
    </row>
    <row r="620">
      <c r="U620" s="46"/>
      <c r="V620" s="47"/>
      <c r="W620" s="47"/>
    </row>
    <row r="621">
      <c r="U621" s="46"/>
      <c r="V621" s="47"/>
      <c r="W621" s="47"/>
    </row>
    <row r="622">
      <c r="U622" s="46"/>
      <c r="V622" s="47"/>
      <c r="W622" s="47"/>
    </row>
    <row r="623">
      <c r="U623" s="46"/>
      <c r="V623" s="47"/>
      <c r="W623" s="47"/>
    </row>
    <row r="624">
      <c r="U624" s="46"/>
      <c r="V624" s="47"/>
      <c r="W624" s="47"/>
    </row>
    <row r="625">
      <c r="U625" s="46"/>
      <c r="V625" s="47"/>
      <c r="W625" s="47"/>
    </row>
    <row r="626">
      <c r="U626" s="46"/>
      <c r="V626" s="47"/>
      <c r="W626" s="47"/>
    </row>
    <row r="627">
      <c r="U627" s="46"/>
      <c r="V627" s="47"/>
      <c r="W627" s="47"/>
    </row>
    <row r="628">
      <c r="U628" s="46"/>
      <c r="V628" s="47"/>
      <c r="W628" s="47"/>
    </row>
    <row r="629">
      <c r="U629" s="46"/>
      <c r="V629" s="47"/>
      <c r="W629" s="47"/>
    </row>
    <row r="630">
      <c r="U630" s="46"/>
      <c r="V630" s="47"/>
      <c r="W630" s="47"/>
    </row>
    <row r="631">
      <c r="U631" s="46"/>
      <c r="V631" s="47"/>
      <c r="W631" s="47"/>
    </row>
    <row r="632">
      <c r="U632" s="46"/>
      <c r="V632" s="47"/>
      <c r="W632" s="47"/>
    </row>
    <row r="633">
      <c r="U633" s="46"/>
      <c r="V633" s="47"/>
      <c r="W633" s="47"/>
    </row>
    <row r="634">
      <c r="U634" s="46"/>
      <c r="V634" s="47"/>
      <c r="W634" s="47"/>
    </row>
    <row r="635">
      <c r="U635" s="46"/>
      <c r="V635" s="47"/>
      <c r="W635" s="47"/>
    </row>
    <row r="636">
      <c r="U636" s="46"/>
      <c r="V636" s="47"/>
      <c r="W636" s="47"/>
    </row>
    <row r="637">
      <c r="U637" s="46"/>
      <c r="V637" s="47"/>
      <c r="W637" s="47"/>
    </row>
    <row r="638">
      <c r="U638" s="46"/>
      <c r="V638" s="47"/>
      <c r="W638" s="47"/>
    </row>
    <row r="639">
      <c r="U639" s="46"/>
      <c r="V639" s="47"/>
      <c r="W639" s="47"/>
    </row>
    <row r="640">
      <c r="U640" s="46"/>
      <c r="V640" s="47"/>
      <c r="W640" s="47"/>
    </row>
    <row r="641">
      <c r="U641" s="46"/>
      <c r="V641" s="47"/>
      <c r="W641" s="47"/>
    </row>
    <row r="642">
      <c r="U642" s="46"/>
      <c r="V642" s="47"/>
      <c r="W642" s="47"/>
    </row>
    <row r="643">
      <c r="U643" s="46"/>
      <c r="V643" s="47"/>
      <c r="W643" s="47"/>
    </row>
    <row r="644">
      <c r="U644" s="46"/>
      <c r="V644" s="47"/>
      <c r="W644" s="47"/>
    </row>
    <row r="645">
      <c r="U645" s="46"/>
      <c r="V645" s="47"/>
      <c r="W645" s="47"/>
    </row>
    <row r="646">
      <c r="U646" s="46"/>
      <c r="V646" s="47"/>
      <c r="W646" s="47"/>
    </row>
    <row r="647">
      <c r="U647" s="46"/>
      <c r="V647" s="47"/>
      <c r="W647" s="47"/>
    </row>
    <row r="648">
      <c r="U648" s="46"/>
      <c r="V648" s="47"/>
      <c r="W648" s="47"/>
    </row>
    <row r="649">
      <c r="U649" s="46"/>
      <c r="V649" s="47"/>
      <c r="W649" s="47"/>
    </row>
    <row r="650">
      <c r="U650" s="46"/>
      <c r="V650" s="47"/>
      <c r="W650" s="47"/>
    </row>
    <row r="651">
      <c r="U651" s="46"/>
      <c r="V651" s="47"/>
      <c r="W651" s="47"/>
    </row>
    <row r="652">
      <c r="U652" s="46"/>
      <c r="V652" s="47"/>
      <c r="W652" s="47"/>
    </row>
    <row r="653">
      <c r="U653" s="46"/>
      <c r="V653" s="47"/>
      <c r="W653" s="47"/>
    </row>
    <row r="654">
      <c r="U654" s="46"/>
      <c r="V654" s="47"/>
      <c r="W654" s="47"/>
    </row>
    <row r="655">
      <c r="U655" s="46"/>
      <c r="V655" s="47"/>
      <c r="W655" s="47"/>
    </row>
    <row r="656">
      <c r="U656" s="46"/>
      <c r="V656" s="47"/>
      <c r="W656" s="47"/>
    </row>
    <row r="657">
      <c r="U657" s="46"/>
      <c r="V657" s="47"/>
      <c r="W657" s="47"/>
    </row>
    <row r="658">
      <c r="U658" s="46"/>
      <c r="V658" s="47"/>
      <c r="W658" s="47"/>
    </row>
    <row r="659">
      <c r="U659" s="46"/>
      <c r="V659" s="47"/>
      <c r="W659" s="47"/>
    </row>
    <row r="660">
      <c r="U660" s="46"/>
      <c r="V660" s="47"/>
      <c r="W660" s="47"/>
    </row>
    <row r="661">
      <c r="U661" s="46"/>
      <c r="V661" s="47"/>
      <c r="W661" s="47"/>
    </row>
    <row r="662">
      <c r="U662" s="46"/>
      <c r="V662" s="47"/>
      <c r="W662" s="47"/>
    </row>
    <row r="663">
      <c r="U663" s="46"/>
      <c r="V663" s="47"/>
      <c r="W663" s="47"/>
    </row>
    <row r="664">
      <c r="U664" s="46"/>
      <c r="V664" s="47"/>
      <c r="W664" s="47"/>
    </row>
    <row r="665">
      <c r="U665" s="46"/>
      <c r="V665" s="47"/>
      <c r="W665" s="47"/>
    </row>
    <row r="666">
      <c r="U666" s="46"/>
      <c r="V666" s="47"/>
      <c r="W666" s="47"/>
    </row>
    <row r="667">
      <c r="U667" s="46"/>
      <c r="V667" s="47"/>
      <c r="W667" s="47"/>
    </row>
    <row r="668">
      <c r="U668" s="46"/>
      <c r="V668" s="47"/>
      <c r="W668" s="47"/>
    </row>
    <row r="669">
      <c r="U669" s="46"/>
      <c r="V669" s="47"/>
      <c r="W669" s="47"/>
    </row>
    <row r="670">
      <c r="U670" s="46"/>
      <c r="V670" s="47"/>
      <c r="W670" s="47"/>
    </row>
    <row r="671">
      <c r="U671" s="46"/>
      <c r="V671" s="47"/>
      <c r="W671" s="47"/>
    </row>
    <row r="672">
      <c r="U672" s="46"/>
      <c r="V672" s="47"/>
      <c r="W672" s="47"/>
    </row>
    <row r="673">
      <c r="U673" s="46"/>
      <c r="V673" s="47"/>
      <c r="W673" s="47"/>
    </row>
    <row r="674">
      <c r="U674" s="46"/>
      <c r="V674" s="47"/>
      <c r="W674" s="47"/>
    </row>
    <row r="675">
      <c r="U675" s="46"/>
      <c r="V675" s="47"/>
      <c r="W675" s="47"/>
    </row>
    <row r="676">
      <c r="U676" s="46"/>
      <c r="V676" s="47"/>
      <c r="W676" s="47"/>
    </row>
    <row r="677">
      <c r="U677" s="46"/>
      <c r="V677" s="47"/>
      <c r="W677" s="47"/>
    </row>
    <row r="678">
      <c r="U678" s="46"/>
      <c r="V678" s="47"/>
      <c r="W678" s="47"/>
    </row>
    <row r="679">
      <c r="U679" s="46"/>
      <c r="V679" s="47"/>
      <c r="W679" s="47"/>
    </row>
    <row r="680">
      <c r="U680" s="46"/>
      <c r="V680" s="47"/>
      <c r="W680" s="47"/>
    </row>
    <row r="681">
      <c r="U681" s="46"/>
      <c r="V681" s="47"/>
      <c r="W681" s="47"/>
    </row>
    <row r="682">
      <c r="U682" s="46"/>
      <c r="V682" s="47"/>
      <c r="W682" s="47"/>
    </row>
    <row r="683">
      <c r="U683" s="46"/>
      <c r="V683" s="47"/>
      <c r="W683" s="47"/>
    </row>
    <row r="684">
      <c r="U684" s="46"/>
      <c r="V684" s="47"/>
      <c r="W684" s="47"/>
    </row>
    <row r="685">
      <c r="U685" s="46"/>
      <c r="V685" s="47"/>
      <c r="W685" s="47"/>
    </row>
    <row r="686">
      <c r="U686" s="46"/>
      <c r="V686" s="47"/>
      <c r="W686" s="47"/>
    </row>
    <row r="687">
      <c r="U687" s="46"/>
      <c r="V687" s="47"/>
      <c r="W687" s="47"/>
    </row>
    <row r="688">
      <c r="U688" s="46"/>
      <c r="V688" s="47"/>
      <c r="W688" s="47"/>
    </row>
    <row r="689">
      <c r="U689" s="46"/>
      <c r="V689" s="47"/>
      <c r="W689" s="47"/>
    </row>
    <row r="690">
      <c r="U690" s="46"/>
      <c r="V690" s="47"/>
      <c r="W690" s="47"/>
    </row>
    <row r="691">
      <c r="U691" s="46"/>
      <c r="V691" s="47"/>
      <c r="W691" s="47"/>
    </row>
    <row r="692">
      <c r="U692" s="46"/>
      <c r="V692" s="47"/>
      <c r="W692" s="47"/>
    </row>
    <row r="693">
      <c r="U693" s="46"/>
      <c r="V693" s="47"/>
      <c r="W693" s="47"/>
    </row>
    <row r="694">
      <c r="U694" s="46"/>
      <c r="V694" s="47"/>
      <c r="W694" s="47"/>
    </row>
    <row r="695">
      <c r="U695" s="46"/>
      <c r="V695" s="47"/>
      <c r="W695" s="47"/>
    </row>
    <row r="696">
      <c r="U696" s="46"/>
      <c r="V696" s="47"/>
      <c r="W696" s="47"/>
    </row>
    <row r="697">
      <c r="U697" s="46"/>
      <c r="V697" s="47"/>
      <c r="W697" s="47"/>
    </row>
    <row r="698">
      <c r="U698" s="46"/>
      <c r="V698" s="47"/>
      <c r="W698" s="47"/>
    </row>
    <row r="699">
      <c r="U699" s="46"/>
      <c r="V699" s="47"/>
      <c r="W699" s="47"/>
    </row>
    <row r="700">
      <c r="U700" s="46"/>
      <c r="V700" s="47"/>
      <c r="W700" s="47"/>
    </row>
    <row r="701">
      <c r="U701" s="46"/>
      <c r="V701" s="47"/>
      <c r="W701" s="47"/>
    </row>
    <row r="702">
      <c r="U702" s="46"/>
      <c r="V702" s="47"/>
      <c r="W702" s="47"/>
    </row>
    <row r="703">
      <c r="U703" s="46"/>
      <c r="V703" s="47"/>
      <c r="W703" s="47"/>
    </row>
    <row r="704">
      <c r="U704" s="46"/>
      <c r="V704" s="47"/>
      <c r="W704" s="47"/>
    </row>
    <row r="705">
      <c r="U705" s="46"/>
      <c r="V705" s="47"/>
      <c r="W705" s="47"/>
    </row>
    <row r="706">
      <c r="U706" s="46"/>
      <c r="V706" s="47"/>
      <c r="W706" s="47"/>
    </row>
    <row r="707">
      <c r="U707" s="46"/>
      <c r="V707" s="47"/>
      <c r="W707" s="47"/>
    </row>
    <row r="708">
      <c r="U708" s="46"/>
      <c r="V708" s="47"/>
      <c r="W708" s="47"/>
    </row>
    <row r="709">
      <c r="U709" s="46"/>
      <c r="V709" s="47"/>
      <c r="W709" s="47"/>
    </row>
    <row r="710">
      <c r="U710" s="46"/>
      <c r="V710" s="47"/>
      <c r="W710" s="47"/>
    </row>
    <row r="711">
      <c r="U711" s="46"/>
      <c r="V711" s="47"/>
      <c r="W711" s="47"/>
    </row>
    <row r="712">
      <c r="U712" s="46"/>
      <c r="V712" s="47"/>
      <c r="W712" s="47"/>
    </row>
    <row r="713">
      <c r="U713" s="46"/>
      <c r="V713" s="47"/>
      <c r="W713" s="47"/>
    </row>
    <row r="714">
      <c r="U714" s="46"/>
      <c r="V714" s="47"/>
      <c r="W714" s="47"/>
    </row>
    <row r="715">
      <c r="U715" s="46"/>
      <c r="V715" s="47"/>
      <c r="W715" s="47"/>
    </row>
    <row r="716">
      <c r="U716" s="46"/>
      <c r="V716" s="47"/>
      <c r="W716" s="47"/>
    </row>
    <row r="717">
      <c r="U717" s="46"/>
      <c r="V717" s="47"/>
      <c r="W717" s="47"/>
    </row>
    <row r="718">
      <c r="U718" s="46"/>
      <c r="V718" s="47"/>
      <c r="W718" s="47"/>
    </row>
    <row r="719">
      <c r="U719" s="46"/>
      <c r="V719" s="47"/>
      <c r="W719" s="47"/>
    </row>
    <row r="720">
      <c r="U720" s="46"/>
      <c r="V720" s="47"/>
      <c r="W720" s="47"/>
    </row>
    <row r="721">
      <c r="U721" s="46"/>
      <c r="V721" s="47"/>
      <c r="W721" s="47"/>
    </row>
    <row r="722">
      <c r="U722" s="46"/>
      <c r="V722" s="47"/>
      <c r="W722" s="47"/>
    </row>
    <row r="723">
      <c r="U723" s="46"/>
      <c r="V723" s="47"/>
      <c r="W723" s="47"/>
    </row>
    <row r="724">
      <c r="U724" s="46"/>
      <c r="V724" s="47"/>
      <c r="W724" s="47"/>
    </row>
    <row r="725">
      <c r="U725" s="46"/>
      <c r="V725" s="47"/>
      <c r="W725" s="47"/>
    </row>
    <row r="726">
      <c r="U726" s="46"/>
      <c r="V726" s="47"/>
      <c r="W726" s="47"/>
    </row>
    <row r="727">
      <c r="U727" s="46"/>
      <c r="V727" s="47"/>
      <c r="W727" s="47"/>
    </row>
    <row r="728">
      <c r="U728" s="46"/>
      <c r="V728" s="47"/>
      <c r="W728" s="47"/>
    </row>
    <row r="729">
      <c r="U729" s="46"/>
      <c r="V729" s="47"/>
      <c r="W729" s="47"/>
    </row>
    <row r="730">
      <c r="U730" s="46"/>
      <c r="V730" s="47"/>
      <c r="W730" s="47"/>
    </row>
    <row r="731">
      <c r="U731" s="46"/>
      <c r="V731" s="47"/>
      <c r="W731" s="47"/>
    </row>
    <row r="732">
      <c r="U732" s="46"/>
      <c r="V732" s="47"/>
      <c r="W732" s="47"/>
    </row>
    <row r="733">
      <c r="U733" s="46"/>
      <c r="V733" s="47"/>
      <c r="W733" s="47"/>
    </row>
    <row r="734">
      <c r="U734" s="46"/>
      <c r="V734" s="47"/>
      <c r="W734" s="47"/>
    </row>
    <row r="735">
      <c r="U735" s="46"/>
      <c r="V735" s="47"/>
      <c r="W735" s="47"/>
    </row>
    <row r="736">
      <c r="U736" s="46"/>
      <c r="V736" s="47"/>
      <c r="W736" s="47"/>
    </row>
    <row r="737">
      <c r="U737" s="46"/>
      <c r="V737" s="47"/>
      <c r="W737" s="47"/>
    </row>
    <row r="738">
      <c r="U738" s="46"/>
      <c r="V738" s="47"/>
      <c r="W738" s="47"/>
    </row>
    <row r="739">
      <c r="U739" s="46"/>
      <c r="V739" s="47"/>
      <c r="W739" s="47"/>
    </row>
    <row r="740">
      <c r="U740" s="46"/>
      <c r="V740" s="47"/>
      <c r="W740" s="47"/>
    </row>
    <row r="741">
      <c r="U741" s="46"/>
      <c r="V741" s="47"/>
      <c r="W741" s="47"/>
    </row>
    <row r="742">
      <c r="U742" s="46"/>
      <c r="V742" s="47"/>
      <c r="W742" s="47"/>
    </row>
    <row r="743">
      <c r="U743" s="46"/>
      <c r="V743" s="47"/>
      <c r="W743" s="47"/>
    </row>
    <row r="744">
      <c r="U744" s="46"/>
      <c r="V744" s="47"/>
      <c r="W744" s="47"/>
    </row>
    <row r="745">
      <c r="U745" s="46"/>
      <c r="V745" s="47"/>
      <c r="W745" s="47"/>
    </row>
    <row r="746">
      <c r="U746" s="46"/>
      <c r="V746" s="47"/>
      <c r="W746" s="47"/>
    </row>
    <row r="747">
      <c r="U747" s="46"/>
      <c r="V747" s="47"/>
      <c r="W747" s="47"/>
    </row>
    <row r="748">
      <c r="U748" s="46"/>
      <c r="V748" s="47"/>
      <c r="W748" s="47"/>
    </row>
    <row r="749">
      <c r="U749" s="46"/>
      <c r="V749" s="47"/>
      <c r="W749" s="47"/>
    </row>
    <row r="750">
      <c r="U750" s="46"/>
      <c r="V750" s="47"/>
      <c r="W750" s="47"/>
    </row>
    <row r="751">
      <c r="U751" s="46"/>
      <c r="V751" s="47"/>
      <c r="W751" s="47"/>
    </row>
    <row r="752">
      <c r="U752" s="46"/>
      <c r="V752" s="47"/>
      <c r="W752" s="47"/>
    </row>
    <row r="753">
      <c r="U753" s="46"/>
      <c r="V753" s="47"/>
      <c r="W753" s="47"/>
    </row>
    <row r="754">
      <c r="U754" s="46"/>
      <c r="V754" s="47"/>
      <c r="W754" s="47"/>
    </row>
    <row r="755">
      <c r="U755" s="46"/>
      <c r="V755" s="47"/>
      <c r="W755" s="47"/>
    </row>
    <row r="756">
      <c r="U756" s="46"/>
      <c r="V756" s="47"/>
      <c r="W756" s="47"/>
    </row>
    <row r="757">
      <c r="U757" s="46"/>
      <c r="V757" s="47"/>
      <c r="W757" s="47"/>
    </row>
    <row r="758">
      <c r="U758" s="46"/>
      <c r="V758" s="47"/>
      <c r="W758" s="47"/>
    </row>
    <row r="759">
      <c r="U759" s="46"/>
      <c r="V759" s="47"/>
      <c r="W759" s="47"/>
    </row>
    <row r="760">
      <c r="U760" s="46"/>
      <c r="V760" s="47"/>
      <c r="W760" s="47"/>
    </row>
    <row r="761">
      <c r="U761" s="46"/>
      <c r="V761" s="47"/>
      <c r="W761" s="47"/>
    </row>
    <row r="762">
      <c r="U762" s="46"/>
      <c r="V762" s="47"/>
      <c r="W762" s="47"/>
    </row>
    <row r="763">
      <c r="U763" s="46"/>
      <c r="V763" s="47"/>
      <c r="W763" s="47"/>
    </row>
    <row r="764">
      <c r="U764" s="46"/>
      <c r="V764" s="47"/>
      <c r="W764" s="47"/>
    </row>
    <row r="765">
      <c r="U765" s="46"/>
      <c r="V765" s="47"/>
      <c r="W765" s="47"/>
    </row>
    <row r="766">
      <c r="U766" s="46"/>
      <c r="V766" s="47"/>
      <c r="W766" s="47"/>
    </row>
    <row r="767">
      <c r="U767" s="46"/>
      <c r="V767" s="47"/>
      <c r="W767" s="47"/>
    </row>
    <row r="768">
      <c r="U768" s="46"/>
      <c r="V768" s="47"/>
      <c r="W768" s="47"/>
    </row>
    <row r="769">
      <c r="U769" s="46"/>
      <c r="V769" s="47"/>
      <c r="W769" s="47"/>
    </row>
    <row r="770">
      <c r="U770" s="46"/>
      <c r="V770" s="47"/>
      <c r="W770" s="47"/>
    </row>
    <row r="771">
      <c r="U771" s="46"/>
      <c r="V771" s="47"/>
      <c r="W771" s="47"/>
    </row>
    <row r="772">
      <c r="U772" s="46"/>
      <c r="V772" s="47"/>
      <c r="W772" s="47"/>
    </row>
    <row r="773">
      <c r="U773" s="46"/>
      <c r="V773" s="47"/>
      <c r="W773" s="47"/>
    </row>
    <row r="774">
      <c r="U774" s="46"/>
      <c r="V774" s="47"/>
      <c r="W774" s="47"/>
    </row>
    <row r="775">
      <c r="U775" s="46"/>
      <c r="V775" s="47"/>
      <c r="W775" s="47"/>
    </row>
    <row r="776">
      <c r="U776" s="46"/>
      <c r="V776" s="47"/>
      <c r="W776" s="47"/>
    </row>
    <row r="777">
      <c r="U777" s="46"/>
      <c r="V777" s="47"/>
      <c r="W777" s="47"/>
    </row>
    <row r="778">
      <c r="U778" s="46"/>
      <c r="V778" s="47"/>
      <c r="W778" s="47"/>
    </row>
    <row r="779">
      <c r="U779" s="46"/>
      <c r="V779" s="47"/>
      <c r="W779" s="47"/>
    </row>
    <row r="780">
      <c r="U780" s="46"/>
      <c r="V780" s="47"/>
      <c r="W780" s="47"/>
    </row>
    <row r="781">
      <c r="U781" s="46"/>
      <c r="V781" s="47"/>
      <c r="W781" s="47"/>
    </row>
    <row r="782">
      <c r="U782" s="46"/>
      <c r="V782" s="47"/>
      <c r="W782" s="47"/>
    </row>
    <row r="783">
      <c r="U783" s="46"/>
      <c r="V783" s="47"/>
      <c r="W783" s="47"/>
    </row>
    <row r="784">
      <c r="U784" s="46"/>
      <c r="V784" s="47"/>
      <c r="W784" s="47"/>
    </row>
    <row r="785">
      <c r="U785" s="46"/>
      <c r="V785" s="47"/>
      <c r="W785" s="47"/>
    </row>
    <row r="786">
      <c r="U786" s="46"/>
      <c r="V786" s="47"/>
      <c r="W786" s="47"/>
    </row>
    <row r="787">
      <c r="U787" s="46"/>
      <c r="V787" s="47"/>
      <c r="W787" s="47"/>
    </row>
    <row r="788">
      <c r="U788" s="46"/>
      <c r="V788" s="47"/>
      <c r="W788" s="47"/>
    </row>
    <row r="789">
      <c r="U789" s="46"/>
      <c r="V789" s="47"/>
      <c r="W789" s="47"/>
    </row>
    <row r="790">
      <c r="U790" s="46"/>
      <c r="V790" s="47"/>
      <c r="W790" s="47"/>
    </row>
    <row r="791">
      <c r="U791" s="46"/>
      <c r="V791" s="47"/>
      <c r="W791" s="47"/>
    </row>
    <row r="792">
      <c r="U792" s="46"/>
      <c r="V792" s="47"/>
      <c r="W792" s="47"/>
    </row>
    <row r="793">
      <c r="U793" s="46"/>
      <c r="V793" s="47"/>
      <c r="W793" s="47"/>
    </row>
    <row r="794">
      <c r="U794" s="46"/>
      <c r="V794" s="47"/>
      <c r="W794" s="47"/>
    </row>
    <row r="795">
      <c r="U795" s="46"/>
      <c r="V795" s="47"/>
      <c r="W795" s="47"/>
    </row>
    <row r="796">
      <c r="U796" s="46"/>
      <c r="V796" s="47"/>
      <c r="W796" s="47"/>
    </row>
    <row r="797">
      <c r="U797" s="46"/>
      <c r="V797" s="47"/>
      <c r="W797" s="47"/>
    </row>
    <row r="798">
      <c r="U798" s="46"/>
      <c r="V798" s="47"/>
      <c r="W798" s="47"/>
    </row>
    <row r="799">
      <c r="U799" s="46"/>
      <c r="V799" s="47"/>
      <c r="W799" s="47"/>
    </row>
    <row r="800">
      <c r="U800" s="46"/>
      <c r="V800" s="47"/>
      <c r="W800" s="47"/>
    </row>
    <row r="801">
      <c r="U801" s="46"/>
      <c r="V801" s="47"/>
      <c r="W801" s="47"/>
    </row>
    <row r="802">
      <c r="U802" s="46"/>
      <c r="V802" s="47"/>
      <c r="W802" s="47"/>
    </row>
    <row r="803">
      <c r="U803" s="46"/>
      <c r="V803" s="47"/>
      <c r="W803" s="47"/>
    </row>
    <row r="804">
      <c r="U804" s="46"/>
      <c r="V804" s="47"/>
      <c r="W804" s="47"/>
    </row>
    <row r="805">
      <c r="U805" s="46"/>
      <c r="V805" s="47"/>
      <c r="W805" s="47"/>
    </row>
    <row r="806">
      <c r="U806" s="46"/>
      <c r="V806" s="47"/>
      <c r="W806" s="47"/>
    </row>
    <row r="807">
      <c r="U807" s="46"/>
      <c r="V807" s="47"/>
      <c r="W807" s="47"/>
    </row>
    <row r="808">
      <c r="U808" s="46"/>
      <c r="V808" s="47"/>
      <c r="W808" s="47"/>
    </row>
    <row r="809">
      <c r="U809" s="46"/>
      <c r="V809" s="47"/>
      <c r="W809" s="47"/>
    </row>
    <row r="810">
      <c r="U810" s="46"/>
      <c r="V810" s="47"/>
      <c r="W810" s="47"/>
    </row>
    <row r="811">
      <c r="U811" s="46"/>
      <c r="V811" s="47"/>
      <c r="W811" s="47"/>
    </row>
    <row r="812">
      <c r="U812" s="46"/>
      <c r="V812" s="47"/>
      <c r="W812" s="47"/>
    </row>
    <row r="813">
      <c r="U813" s="46"/>
      <c r="V813" s="47"/>
      <c r="W813" s="47"/>
    </row>
    <row r="814">
      <c r="U814" s="46"/>
      <c r="V814" s="47"/>
      <c r="W814" s="47"/>
    </row>
    <row r="815">
      <c r="U815" s="46"/>
      <c r="V815" s="47"/>
      <c r="W815" s="47"/>
    </row>
    <row r="816">
      <c r="U816" s="46"/>
      <c r="V816" s="47"/>
      <c r="W816" s="47"/>
    </row>
    <row r="817">
      <c r="U817" s="46"/>
      <c r="V817" s="47"/>
      <c r="W817" s="47"/>
    </row>
    <row r="818">
      <c r="U818" s="46"/>
      <c r="V818" s="47"/>
      <c r="W818" s="47"/>
    </row>
    <row r="819">
      <c r="U819" s="46"/>
      <c r="V819" s="47"/>
      <c r="W819" s="47"/>
    </row>
    <row r="820">
      <c r="U820" s="46"/>
      <c r="V820" s="47"/>
      <c r="W820" s="47"/>
    </row>
    <row r="821">
      <c r="U821" s="46"/>
      <c r="V821" s="47"/>
      <c r="W821" s="47"/>
    </row>
    <row r="822">
      <c r="U822" s="46"/>
      <c r="V822" s="47"/>
      <c r="W822" s="47"/>
    </row>
    <row r="823">
      <c r="U823" s="46"/>
      <c r="V823" s="47"/>
      <c r="W823" s="47"/>
    </row>
    <row r="824">
      <c r="U824" s="46"/>
      <c r="V824" s="47"/>
      <c r="W824" s="47"/>
    </row>
    <row r="825">
      <c r="U825" s="46"/>
      <c r="V825" s="47"/>
      <c r="W825" s="47"/>
    </row>
    <row r="826">
      <c r="U826" s="46"/>
      <c r="V826" s="47"/>
      <c r="W826" s="47"/>
    </row>
    <row r="827">
      <c r="U827" s="46"/>
      <c r="V827" s="47"/>
      <c r="W827" s="47"/>
    </row>
    <row r="828">
      <c r="U828" s="46"/>
      <c r="V828" s="47"/>
      <c r="W828" s="47"/>
    </row>
    <row r="829">
      <c r="U829" s="46"/>
      <c r="V829" s="47"/>
      <c r="W829" s="47"/>
    </row>
    <row r="830">
      <c r="U830" s="46"/>
      <c r="V830" s="47"/>
      <c r="W830" s="47"/>
    </row>
    <row r="831">
      <c r="U831" s="46"/>
      <c r="V831" s="47"/>
      <c r="W831" s="47"/>
    </row>
    <row r="832">
      <c r="U832" s="46"/>
      <c r="V832" s="47"/>
      <c r="W832" s="47"/>
    </row>
    <row r="833">
      <c r="U833" s="46"/>
      <c r="V833" s="47"/>
      <c r="W833" s="47"/>
    </row>
    <row r="834">
      <c r="U834" s="46"/>
      <c r="V834" s="47"/>
      <c r="W834" s="47"/>
    </row>
    <row r="835">
      <c r="U835" s="46"/>
      <c r="V835" s="47"/>
      <c r="W835" s="47"/>
    </row>
    <row r="836">
      <c r="U836" s="46"/>
      <c r="V836" s="47"/>
      <c r="W836" s="47"/>
    </row>
    <row r="837">
      <c r="U837" s="46"/>
      <c r="V837" s="47"/>
      <c r="W837" s="47"/>
    </row>
    <row r="838">
      <c r="U838" s="46"/>
      <c r="V838" s="47"/>
      <c r="W838" s="47"/>
    </row>
    <row r="839">
      <c r="U839" s="46"/>
      <c r="V839" s="47"/>
      <c r="W839" s="47"/>
    </row>
    <row r="840">
      <c r="U840" s="46"/>
      <c r="V840" s="47"/>
      <c r="W840" s="47"/>
    </row>
    <row r="841">
      <c r="U841" s="46"/>
      <c r="V841" s="47"/>
      <c r="W841" s="47"/>
    </row>
    <row r="842">
      <c r="U842" s="46"/>
      <c r="V842" s="47"/>
      <c r="W842" s="47"/>
    </row>
    <row r="843">
      <c r="U843" s="46"/>
      <c r="V843" s="47"/>
      <c r="W843" s="47"/>
    </row>
    <row r="844">
      <c r="U844" s="46"/>
      <c r="V844" s="47"/>
      <c r="W844" s="47"/>
    </row>
    <row r="845">
      <c r="U845" s="46"/>
      <c r="V845" s="47"/>
      <c r="W845" s="47"/>
    </row>
    <row r="846">
      <c r="U846" s="46"/>
      <c r="V846" s="47"/>
      <c r="W846" s="47"/>
    </row>
    <row r="847">
      <c r="U847" s="46"/>
      <c r="V847" s="47"/>
      <c r="W847" s="47"/>
    </row>
    <row r="848">
      <c r="U848" s="46"/>
      <c r="V848" s="47"/>
      <c r="W848" s="47"/>
    </row>
    <row r="849">
      <c r="U849" s="46"/>
      <c r="V849" s="47"/>
      <c r="W849" s="47"/>
    </row>
    <row r="850">
      <c r="U850" s="46"/>
      <c r="V850" s="47"/>
      <c r="W850" s="47"/>
    </row>
    <row r="851">
      <c r="U851" s="46"/>
      <c r="V851" s="47"/>
      <c r="W851" s="47"/>
    </row>
    <row r="852">
      <c r="U852" s="46"/>
      <c r="V852" s="47"/>
      <c r="W852" s="47"/>
    </row>
    <row r="853">
      <c r="U853" s="46"/>
      <c r="V853" s="47"/>
      <c r="W853" s="47"/>
    </row>
    <row r="854">
      <c r="U854" s="46"/>
      <c r="V854" s="47"/>
      <c r="W854" s="47"/>
    </row>
    <row r="855">
      <c r="U855" s="46"/>
      <c r="V855" s="47"/>
      <c r="W855" s="47"/>
    </row>
    <row r="856">
      <c r="U856" s="46"/>
      <c r="V856" s="47"/>
      <c r="W856" s="47"/>
    </row>
    <row r="857">
      <c r="U857" s="46"/>
      <c r="V857" s="47"/>
      <c r="W857" s="47"/>
    </row>
    <row r="858">
      <c r="U858" s="46"/>
      <c r="V858" s="47"/>
      <c r="W858" s="47"/>
    </row>
    <row r="859">
      <c r="U859" s="46"/>
      <c r="V859" s="47"/>
      <c r="W859" s="47"/>
    </row>
    <row r="860">
      <c r="U860" s="46"/>
      <c r="V860" s="47"/>
      <c r="W860" s="47"/>
    </row>
    <row r="861">
      <c r="U861" s="46"/>
      <c r="V861" s="47"/>
      <c r="W861" s="47"/>
    </row>
    <row r="862">
      <c r="U862" s="46"/>
      <c r="V862" s="47"/>
      <c r="W862" s="47"/>
    </row>
    <row r="863">
      <c r="U863" s="46"/>
      <c r="V863" s="47"/>
      <c r="W863" s="47"/>
    </row>
    <row r="864">
      <c r="U864" s="46"/>
      <c r="V864" s="47"/>
      <c r="W864" s="47"/>
    </row>
    <row r="865">
      <c r="U865" s="46"/>
      <c r="V865" s="47"/>
      <c r="W865" s="47"/>
    </row>
    <row r="866">
      <c r="U866" s="46"/>
      <c r="V866" s="47"/>
      <c r="W866" s="47"/>
    </row>
    <row r="867">
      <c r="U867" s="46"/>
      <c r="V867" s="47"/>
      <c r="W867" s="47"/>
    </row>
    <row r="868">
      <c r="U868" s="46"/>
      <c r="V868" s="47"/>
      <c r="W868" s="47"/>
    </row>
    <row r="869">
      <c r="U869" s="46"/>
      <c r="V869" s="47"/>
      <c r="W869" s="47"/>
    </row>
    <row r="870">
      <c r="U870" s="46"/>
      <c r="V870" s="47"/>
      <c r="W870" s="47"/>
    </row>
    <row r="871">
      <c r="U871" s="46"/>
      <c r="V871" s="47"/>
      <c r="W871" s="47"/>
    </row>
    <row r="872">
      <c r="U872" s="46"/>
      <c r="V872" s="47"/>
      <c r="W872" s="47"/>
    </row>
    <row r="873">
      <c r="U873" s="46"/>
      <c r="V873" s="47"/>
      <c r="W873" s="47"/>
    </row>
    <row r="874">
      <c r="U874" s="46"/>
      <c r="V874" s="47"/>
      <c r="W874" s="47"/>
    </row>
    <row r="875">
      <c r="U875" s="46"/>
      <c r="V875" s="47"/>
      <c r="W875" s="47"/>
    </row>
    <row r="876">
      <c r="U876" s="46"/>
      <c r="V876" s="47"/>
      <c r="W876" s="47"/>
    </row>
    <row r="877">
      <c r="U877" s="46"/>
      <c r="V877" s="47"/>
      <c r="W877" s="47"/>
    </row>
    <row r="878">
      <c r="U878" s="46"/>
      <c r="V878" s="47"/>
      <c r="W878" s="47"/>
    </row>
    <row r="879">
      <c r="U879" s="46"/>
      <c r="V879" s="47"/>
      <c r="W879" s="47"/>
    </row>
    <row r="880">
      <c r="U880" s="46"/>
      <c r="V880" s="47"/>
      <c r="W880" s="47"/>
    </row>
    <row r="881">
      <c r="U881" s="46"/>
      <c r="V881" s="47"/>
      <c r="W881" s="47"/>
    </row>
    <row r="882">
      <c r="U882" s="46"/>
      <c r="V882" s="47"/>
      <c r="W882" s="47"/>
    </row>
    <row r="883">
      <c r="U883" s="46"/>
      <c r="V883" s="47"/>
      <c r="W883" s="47"/>
    </row>
    <row r="884">
      <c r="U884" s="46"/>
      <c r="V884" s="47"/>
      <c r="W884" s="47"/>
    </row>
    <row r="885">
      <c r="U885" s="46"/>
      <c r="V885" s="47"/>
      <c r="W885" s="47"/>
    </row>
    <row r="886">
      <c r="U886" s="46"/>
      <c r="V886" s="47"/>
      <c r="W886" s="47"/>
    </row>
    <row r="887">
      <c r="U887" s="46"/>
      <c r="V887" s="47"/>
      <c r="W887" s="47"/>
    </row>
    <row r="888">
      <c r="U888" s="46"/>
      <c r="V888" s="47"/>
      <c r="W888" s="47"/>
    </row>
    <row r="889">
      <c r="U889" s="46"/>
      <c r="V889" s="47"/>
      <c r="W889" s="47"/>
    </row>
    <row r="890">
      <c r="U890" s="46"/>
      <c r="V890" s="47"/>
      <c r="W890" s="47"/>
    </row>
    <row r="891">
      <c r="U891" s="46"/>
      <c r="V891" s="47"/>
      <c r="W891" s="47"/>
    </row>
    <row r="892">
      <c r="U892" s="46"/>
      <c r="V892" s="47"/>
      <c r="W892" s="47"/>
    </row>
    <row r="893">
      <c r="U893" s="46"/>
      <c r="V893" s="47"/>
      <c r="W893" s="47"/>
    </row>
    <row r="894">
      <c r="U894" s="46"/>
      <c r="V894" s="47"/>
      <c r="W894" s="47"/>
    </row>
    <row r="895">
      <c r="U895" s="46"/>
      <c r="V895" s="47"/>
      <c r="W895" s="47"/>
    </row>
    <row r="896">
      <c r="U896" s="46"/>
      <c r="V896" s="47"/>
      <c r="W896" s="47"/>
    </row>
    <row r="897">
      <c r="U897" s="46"/>
      <c r="V897" s="47"/>
      <c r="W897" s="47"/>
    </row>
    <row r="898">
      <c r="U898" s="46"/>
      <c r="V898" s="47"/>
      <c r="W898" s="47"/>
    </row>
    <row r="899">
      <c r="U899" s="46"/>
      <c r="V899" s="47"/>
      <c r="W899" s="47"/>
    </row>
    <row r="900">
      <c r="U900" s="46"/>
      <c r="V900" s="47"/>
      <c r="W900" s="47"/>
    </row>
    <row r="901">
      <c r="U901" s="46"/>
      <c r="V901" s="47"/>
      <c r="W901" s="47"/>
    </row>
    <row r="902">
      <c r="U902" s="46"/>
      <c r="V902" s="47"/>
      <c r="W902" s="47"/>
    </row>
    <row r="903">
      <c r="U903" s="46"/>
      <c r="V903" s="47"/>
      <c r="W903" s="47"/>
    </row>
    <row r="904">
      <c r="U904" s="46"/>
      <c r="V904" s="47"/>
      <c r="W904" s="47"/>
    </row>
    <row r="905">
      <c r="U905" s="46"/>
      <c r="V905" s="47"/>
      <c r="W905" s="47"/>
    </row>
    <row r="906">
      <c r="U906" s="46"/>
      <c r="V906" s="47"/>
      <c r="W906" s="47"/>
    </row>
    <row r="907">
      <c r="U907" s="46"/>
      <c r="V907" s="47"/>
      <c r="W907" s="47"/>
    </row>
    <row r="908">
      <c r="U908" s="46"/>
      <c r="V908" s="47"/>
      <c r="W908" s="47"/>
    </row>
    <row r="909">
      <c r="U909" s="46"/>
      <c r="V909" s="47"/>
      <c r="W909" s="47"/>
    </row>
    <row r="910">
      <c r="U910" s="46"/>
      <c r="V910" s="47"/>
      <c r="W910" s="47"/>
    </row>
    <row r="911">
      <c r="U911" s="46"/>
      <c r="V911" s="47"/>
      <c r="W911" s="47"/>
    </row>
    <row r="912">
      <c r="U912" s="46"/>
      <c r="V912" s="47"/>
      <c r="W912" s="47"/>
    </row>
    <row r="913">
      <c r="U913" s="46"/>
      <c r="V913" s="47"/>
      <c r="W913" s="47"/>
    </row>
    <row r="914">
      <c r="U914" s="46"/>
      <c r="V914" s="47"/>
      <c r="W914" s="47"/>
    </row>
    <row r="915">
      <c r="U915" s="46"/>
      <c r="V915" s="47"/>
      <c r="W915" s="47"/>
    </row>
    <row r="916">
      <c r="U916" s="46"/>
      <c r="V916" s="47"/>
      <c r="W916" s="47"/>
    </row>
    <row r="917">
      <c r="U917" s="46"/>
      <c r="V917" s="47"/>
      <c r="W917" s="47"/>
    </row>
    <row r="918">
      <c r="U918" s="46"/>
      <c r="V918" s="47"/>
      <c r="W918" s="47"/>
    </row>
    <row r="919">
      <c r="U919" s="46"/>
      <c r="V919" s="47"/>
      <c r="W919" s="47"/>
    </row>
    <row r="920">
      <c r="U920" s="46"/>
      <c r="V920" s="47"/>
      <c r="W920" s="47"/>
    </row>
    <row r="921">
      <c r="U921" s="46"/>
      <c r="V921" s="47"/>
      <c r="W921" s="47"/>
    </row>
    <row r="922">
      <c r="U922" s="46"/>
      <c r="V922" s="47"/>
      <c r="W922" s="47"/>
    </row>
    <row r="923">
      <c r="U923" s="46"/>
      <c r="V923" s="47"/>
      <c r="W923" s="47"/>
    </row>
    <row r="924">
      <c r="U924" s="46"/>
      <c r="V924" s="47"/>
      <c r="W924" s="47"/>
    </row>
    <row r="925">
      <c r="U925" s="46"/>
      <c r="V925" s="47"/>
      <c r="W925" s="47"/>
    </row>
    <row r="926">
      <c r="U926" s="46"/>
      <c r="V926" s="47"/>
      <c r="W926" s="47"/>
    </row>
    <row r="927">
      <c r="U927" s="46"/>
      <c r="V927" s="47"/>
      <c r="W927" s="47"/>
    </row>
    <row r="928">
      <c r="U928" s="46"/>
      <c r="V928" s="47"/>
      <c r="W928" s="47"/>
    </row>
    <row r="929">
      <c r="U929" s="46"/>
      <c r="V929" s="47"/>
      <c r="W929" s="47"/>
    </row>
    <row r="930">
      <c r="U930" s="46"/>
      <c r="V930" s="47"/>
      <c r="W930" s="47"/>
    </row>
    <row r="931">
      <c r="U931" s="46"/>
      <c r="V931" s="47"/>
      <c r="W931" s="47"/>
    </row>
    <row r="932">
      <c r="U932" s="46"/>
      <c r="V932" s="47"/>
      <c r="W932" s="47"/>
    </row>
    <row r="933">
      <c r="U933" s="46"/>
      <c r="V933" s="47"/>
      <c r="W933" s="47"/>
    </row>
    <row r="934">
      <c r="U934" s="46"/>
      <c r="V934" s="47"/>
      <c r="W934" s="47"/>
    </row>
    <row r="935">
      <c r="U935" s="46"/>
      <c r="V935" s="47"/>
      <c r="W935" s="47"/>
    </row>
    <row r="936">
      <c r="U936" s="46"/>
      <c r="V936" s="47"/>
      <c r="W936" s="47"/>
    </row>
    <row r="937">
      <c r="U937" s="46"/>
      <c r="V937" s="47"/>
      <c r="W937" s="47"/>
    </row>
    <row r="938">
      <c r="U938" s="46"/>
      <c r="V938" s="47"/>
      <c r="W938" s="47"/>
    </row>
    <row r="939">
      <c r="U939" s="46"/>
      <c r="V939" s="47"/>
      <c r="W939" s="47"/>
    </row>
    <row r="940">
      <c r="U940" s="46"/>
      <c r="V940" s="47"/>
      <c r="W940" s="47"/>
    </row>
    <row r="941">
      <c r="U941" s="46"/>
      <c r="V941" s="47"/>
      <c r="W941" s="47"/>
    </row>
    <row r="942">
      <c r="U942" s="46"/>
      <c r="V942" s="47"/>
      <c r="W942" s="47"/>
    </row>
    <row r="943">
      <c r="U943" s="46"/>
      <c r="V943" s="47"/>
      <c r="W943" s="47"/>
    </row>
    <row r="944">
      <c r="U944" s="46"/>
      <c r="V944" s="47"/>
      <c r="W944" s="47"/>
    </row>
    <row r="945">
      <c r="U945" s="46"/>
      <c r="V945" s="47"/>
      <c r="W945" s="47"/>
    </row>
    <row r="946">
      <c r="U946" s="46"/>
      <c r="V946" s="47"/>
      <c r="W946" s="47"/>
    </row>
    <row r="947">
      <c r="U947" s="46"/>
      <c r="V947" s="47"/>
      <c r="W947" s="47"/>
    </row>
    <row r="948">
      <c r="U948" s="46"/>
      <c r="V948" s="47"/>
      <c r="W948" s="47"/>
    </row>
    <row r="949">
      <c r="U949" s="46"/>
      <c r="V949" s="47"/>
      <c r="W949" s="47"/>
    </row>
    <row r="950">
      <c r="U950" s="46"/>
      <c r="V950" s="47"/>
      <c r="W950" s="47"/>
    </row>
    <row r="951">
      <c r="U951" s="46"/>
      <c r="V951" s="47"/>
      <c r="W951" s="47"/>
    </row>
    <row r="952">
      <c r="U952" s="46"/>
      <c r="V952" s="47"/>
      <c r="W952" s="47"/>
    </row>
    <row r="953">
      <c r="U953" s="46"/>
      <c r="V953" s="47"/>
      <c r="W953" s="47"/>
    </row>
    <row r="954">
      <c r="U954" s="46"/>
      <c r="V954" s="47"/>
      <c r="W954" s="47"/>
    </row>
    <row r="955">
      <c r="U955" s="46"/>
      <c r="V955" s="47"/>
      <c r="W955" s="47"/>
    </row>
    <row r="956">
      <c r="U956" s="46"/>
      <c r="V956" s="47"/>
      <c r="W956" s="47"/>
    </row>
    <row r="957">
      <c r="U957" s="46"/>
      <c r="V957" s="47"/>
      <c r="W957" s="47"/>
    </row>
    <row r="958">
      <c r="U958" s="46"/>
      <c r="V958" s="47"/>
      <c r="W958" s="47"/>
    </row>
    <row r="959">
      <c r="U959" s="46"/>
      <c r="V959" s="47"/>
      <c r="W959" s="47"/>
    </row>
    <row r="960">
      <c r="U960" s="46"/>
      <c r="V960" s="47"/>
      <c r="W960" s="47"/>
    </row>
    <row r="961">
      <c r="U961" s="46"/>
      <c r="V961" s="47"/>
      <c r="W961" s="47"/>
    </row>
    <row r="962">
      <c r="U962" s="46"/>
      <c r="V962" s="47"/>
      <c r="W962" s="47"/>
    </row>
    <row r="963">
      <c r="U963" s="46"/>
      <c r="V963" s="47"/>
      <c r="W963" s="47"/>
    </row>
    <row r="964">
      <c r="U964" s="46"/>
      <c r="V964" s="47"/>
      <c r="W964" s="47"/>
    </row>
    <row r="965">
      <c r="U965" s="46"/>
      <c r="V965" s="47"/>
      <c r="W965" s="47"/>
    </row>
    <row r="966">
      <c r="U966" s="46"/>
      <c r="V966" s="47"/>
      <c r="W966" s="47"/>
    </row>
    <row r="967">
      <c r="U967" s="46"/>
      <c r="V967" s="47"/>
      <c r="W967" s="47"/>
    </row>
    <row r="968">
      <c r="U968" s="46"/>
      <c r="V968" s="47"/>
      <c r="W968" s="47"/>
    </row>
    <row r="969">
      <c r="U969" s="46"/>
      <c r="V969" s="47"/>
      <c r="W969" s="47"/>
    </row>
    <row r="970">
      <c r="U970" s="46"/>
      <c r="V970" s="47"/>
      <c r="W970" s="47"/>
    </row>
    <row r="971">
      <c r="U971" s="46"/>
      <c r="V971" s="47"/>
      <c r="W971" s="47"/>
    </row>
    <row r="972">
      <c r="U972" s="46"/>
      <c r="V972" s="47"/>
      <c r="W972" s="47"/>
    </row>
    <row r="973">
      <c r="U973" s="46"/>
      <c r="V973" s="47"/>
      <c r="W973" s="47"/>
    </row>
    <row r="974">
      <c r="U974" s="46"/>
      <c r="V974" s="47"/>
      <c r="W974" s="47"/>
    </row>
    <row r="975">
      <c r="U975" s="46"/>
      <c r="V975" s="47"/>
      <c r="W975" s="47"/>
    </row>
    <row r="976">
      <c r="U976" s="46"/>
      <c r="V976" s="47"/>
      <c r="W976" s="47"/>
    </row>
    <row r="977">
      <c r="U977" s="46"/>
      <c r="V977" s="47"/>
      <c r="W977" s="47"/>
    </row>
    <row r="978">
      <c r="U978" s="46"/>
      <c r="V978" s="47"/>
      <c r="W978" s="47"/>
    </row>
    <row r="979">
      <c r="U979" s="46"/>
      <c r="V979" s="47"/>
      <c r="W979" s="47"/>
    </row>
    <row r="980">
      <c r="U980" s="46"/>
      <c r="V980" s="47"/>
      <c r="W980" s="47"/>
    </row>
    <row r="981">
      <c r="U981" s="46"/>
      <c r="V981" s="47"/>
      <c r="W981" s="47"/>
    </row>
    <row r="982">
      <c r="U982" s="46"/>
      <c r="V982" s="47"/>
      <c r="W982" s="47"/>
    </row>
    <row r="983">
      <c r="U983" s="46"/>
      <c r="V983" s="47"/>
      <c r="W983" s="47"/>
    </row>
    <row r="984">
      <c r="U984" s="46"/>
      <c r="V984" s="47"/>
      <c r="W984" s="47"/>
    </row>
    <row r="985">
      <c r="U985" s="46"/>
      <c r="V985" s="47"/>
      <c r="W985" s="47"/>
    </row>
    <row r="986">
      <c r="U986" s="46"/>
      <c r="V986" s="47"/>
      <c r="W986" s="47"/>
    </row>
    <row r="987">
      <c r="U987" s="46"/>
      <c r="V987" s="47"/>
      <c r="W987" s="47"/>
    </row>
    <row r="988">
      <c r="U988" s="46"/>
      <c r="V988" s="47"/>
      <c r="W988" s="47"/>
    </row>
    <row r="989">
      <c r="U989" s="46"/>
      <c r="V989" s="47"/>
      <c r="W989" s="47"/>
    </row>
    <row r="990">
      <c r="U990" s="46"/>
      <c r="V990" s="47"/>
      <c r="W990" s="47"/>
    </row>
    <row r="991">
      <c r="U991" s="46"/>
      <c r="V991" s="47"/>
      <c r="W991" s="47"/>
    </row>
  </sheetData>
  <mergeCells count="6">
    <mergeCell ref="O1:R1"/>
    <mergeCell ref="AA1:AE1"/>
    <mergeCell ref="F3:M3"/>
    <mergeCell ref="O3:R3"/>
    <mergeCell ref="U3:Y3"/>
    <mergeCell ref="AA3:AE3"/>
  </mergeCells>
  <conditionalFormatting sqref="B32:C32">
    <cfRule type="expression" dxfId="0" priority="1">
      <formula>B32=MAX($B32:$D32)</formula>
    </cfRule>
  </conditionalFormatting>
  <conditionalFormatting sqref="D35 H35:I35">
    <cfRule type="cellIs" dxfId="1" priority="2" operator="between">
      <formula>0.05</formula>
      <formula>0.01</formula>
    </cfRule>
  </conditionalFormatting>
  <conditionalFormatting sqref="D35 H35:I35">
    <cfRule type="cellIs" dxfId="2" priority="3" operator="lessThanOrEqual">
      <formula>0.01</formula>
    </cfRule>
  </conditionalFormatting>
  <conditionalFormatting sqref="U8:Y8">
    <cfRule type="expression" dxfId="0" priority="4">
      <formula>U8=MAX(U$11,U$25,U$36)</formula>
    </cfRule>
  </conditionalFormatting>
  <conditionalFormatting sqref="F8:I8 L8">
    <cfRule type="expression" dxfId="0" priority="5">
      <formula>F8=MAX(F$8,F$17,F$8)</formula>
    </cfRule>
  </conditionalFormatting>
  <conditionalFormatting sqref="F7:I7 L7">
    <cfRule type="expression" dxfId="0" priority="6">
      <formula>F7=MAX(F$7,F$16,F$7)</formula>
    </cfRule>
  </conditionalFormatting>
  <conditionalFormatting sqref="B23:B24">
    <cfRule type="expression" dxfId="0" priority="7">
      <formula>C23:V23 = MAX(23:23)</formula>
    </cfRule>
  </conditionalFormatting>
  <conditionalFormatting sqref="B7:B8 B16:B17 B25">
    <cfRule type="expression" dxfId="0" priority="8">
      <formula>B7=MAX($B7)</formula>
    </cfRule>
  </conditionalFormatting>
  <conditionalFormatting sqref="U7:Y7">
    <cfRule type="expression" dxfId="0" priority="9">
      <formula>U7=MAX(U$7,U$16,F$7)</formula>
    </cfRule>
  </conditionalFormatting>
  <conditionalFormatting sqref="U8:Y8">
    <cfRule type="expression" dxfId="0" priority="10">
      <formula>U8=MAX(U$8,U$17,F$8)</formula>
    </cfRule>
  </conditionalFormatting>
  <hyperlinks>
    <hyperlink display="#CopaDelRey-volume-2-burst-0.8-grouped" location="#CopaDelRey-volume-2-burst-0.8-!A1" ref="D4"/>
    <hyperlink display="#ParmaMilan-volume-3-burst-0.8-grouped" location="#ParmaMilan-volume-3-burst-0.8-!A1" ref="D5"/>
    <hyperlink display="#TropheeDesChampions-volume-3-burst-0.8-grouped" location="#TropheeDesChampions-volume-3-b!A1" ref="D6"/>
  </hyperlin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0.03448275862</v>
      </c>
      <c r="E2" s="65">
        <v>1.623502899E9</v>
      </c>
      <c r="F2" s="66">
        <f>IFERROR(__xludf.DUMMYFUNCTION("INDEX(SPLIT(E2, char(10)), 0, 1)/86400+date(1970,1,1)"),44359.5428125)</f>
        <v>44359.54281</v>
      </c>
      <c r="G2" s="67" t="s">
        <v>97</v>
      </c>
      <c r="H2" s="68" t="s">
        <v>98</v>
      </c>
      <c r="I2" s="5" t="s">
        <v>14</v>
      </c>
      <c r="J2" s="40"/>
    </row>
    <row r="3">
      <c r="A3" s="40" t="s">
        <v>14</v>
      </c>
      <c r="B3" s="40" t="s">
        <v>99</v>
      </c>
      <c r="C3" s="40">
        <f t="shared" si="1"/>
        <v>6</v>
      </c>
      <c r="D3" s="64">
        <f t="shared" si="2"/>
        <v>0.2068965517</v>
      </c>
      <c r="E3" s="65">
        <v>1.623503118E9</v>
      </c>
      <c r="F3" s="66">
        <f>IFERROR(__xludf.DUMMYFUNCTION("INDEX(SPLIT(E3, char(10)), 0, 1)/86400+date(1970,1,1)"),44359.54534722222)</f>
        <v>44359.54535</v>
      </c>
      <c r="G3" s="67" t="s">
        <v>100</v>
      </c>
      <c r="H3" s="68" t="s">
        <v>101</v>
      </c>
      <c r="I3" s="5" t="s">
        <v>14</v>
      </c>
      <c r="J3" s="40"/>
    </row>
    <row r="4">
      <c r="A4" s="40" t="s">
        <v>15</v>
      </c>
      <c r="B4" s="40" t="s">
        <v>102</v>
      </c>
      <c r="C4" s="40">
        <f t="shared" si="1"/>
        <v>3</v>
      </c>
      <c r="D4" s="64">
        <f t="shared" si="2"/>
        <v>0.1034482759</v>
      </c>
      <c r="E4" s="65">
        <v>1.623503802E9</v>
      </c>
      <c r="F4" s="66">
        <f>IFERROR(__xludf.DUMMYFUNCTION("INDEX(SPLIT(E4, char(10)), 0, 1)/86400+date(1970,1,1)"),44359.55326388888)</f>
        <v>44359.55326</v>
      </c>
      <c r="G4" s="67" t="s">
        <v>103</v>
      </c>
      <c r="H4" s="68" t="s">
        <v>104</v>
      </c>
      <c r="I4" s="5" t="s">
        <v>17</v>
      </c>
      <c r="J4" s="40"/>
    </row>
    <row r="5">
      <c r="A5" s="40" t="s">
        <v>16</v>
      </c>
      <c r="B5" s="40" t="s">
        <v>105</v>
      </c>
      <c r="C5" s="40">
        <f t="shared" si="1"/>
        <v>8</v>
      </c>
      <c r="D5" s="64">
        <f t="shared" si="2"/>
        <v>0.275862069</v>
      </c>
      <c r="E5" s="65">
        <v>1.623504549E9</v>
      </c>
      <c r="F5" s="66">
        <f>IFERROR(__xludf.DUMMYFUNCTION("INDEX(SPLIT(E5, char(10)), 0, 1)/86400+date(1970,1,1)"),44359.56190972222)</f>
        <v>44359.56191</v>
      </c>
      <c r="G5" s="67" t="s">
        <v>106</v>
      </c>
      <c r="H5" s="68" t="s">
        <v>107</v>
      </c>
      <c r="I5" s="5" t="s">
        <v>17</v>
      </c>
      <c r="J5" s="40"/>
    </row>
    <row r="6">
      <c r="A6" s="40" t="s">
        <v>17</v>
      </c>
      <c r="B6" s="40" t="s">
        <v>108</v>
      </c>
      <c r="C6" s="40">
        <f t="shared" si="1"/>
        <v>11</v>
      </c>
      <c r="D6" s="64">
        <f t="shared" si="2"/>
        <v>0.3793103448</v>
      </c>
      <c r="E6" s="65">
        <v>1.623504718E9</v>
      </c>
      <c r="F6" s="66">
        <f>IFERROR(__xludf.DUMMYFUNCTION("INDEX(SPLIT(E6, char(10)), 0, 1)/86400+date(1970,1,1)"),44359.56386574074)</f>
        <v>44359.56387</v>
      </c>
      <c r="G6" s="67" t="s">
        <v>109</v>
      </c>
      <c r="H6" s="68" t="s">
        <v>110</v>
      </c>
      <c r="I6" s="5" t="s">
        <v>17</v>
      </c>
    </row>
    <row r="7">
      <c r="B7" s="40" t="s">
        <v>13</v>
      </c>
      <c r="C7" s="69">
        <f t="shared" ref="C7:D7" si="3">SUM(C2:C6)</f>
        <v>29</v>
      </c>
      <c r="D7" s="70">
        <f t="shared" si="3"/>
        <v>1</v>
      </c>
      <c r="E7" s="65">
        <v>1.623504872E9</v>
      </c>
      <c r="F7" s="66">
        <f>IFERROR(__xludf.DUMMYFUNCTION("INDEX(SPLIT(E7, char(10)), 0, 1)/86400+date(1970,1,1)"),44359.56564814815)</f>
        <v>44359.56565</v>
      </c>
      <c r="G7" s="67" t="s">
        <v>111</v>
      </c>
      <c r="H7" s="68" t="s">
        <v>112</v>
      </c>
      <c r="I7" s="5" t="s">
        <v>17</v>
      </c>
    </row>
    <row r="8">
      <c r="A8" s="71"/>
      <c r="B8" s="40" t="s">
        <v>18</v>
      </c>
      <c r="C8" s="57">
        <f t="shared" ref="C8:D8" si="4">SUM(C5:C6)</f>
        <v>19</v>
      </c>
      <c r="D8" s="14">
        <f t="shared" si="4"/>
        <v>0.6551724138</v>
      </c>
      <c r="E8" s="65">
        <v>1.623504981E9</v>
      </c>
      <c r="F8" s="66">
        <f>IFERROR(__xludf.DUMMYFUNCTION("INDEX(SPLIT(E8, char(10)), 0, 1)/86400+date(1970,1,1)"),44359.56690972223)</f>
        <v>44359.56691</v>
      </c>
      <c r="G8" s="67" t="s">
        <v>113</v>
      </c>
      <c r="H8" s="68" t="s">
        <v>114</v>
      </c>
      <c r="I8" s="5" t="s">
        <v>15</v>
      </c>
    </row>
    <row r="9">
      <c r="A9" s="71"/>
      <c r="B9" s="40" t="s">
        <v>47</v>
      </c>
      <c r="C9" s="57">
        <f>SUM(C6:C7)</f>
        <v>40</v>
      </c>
      <c r="D9" s="14">
        <f>SUM(D5:D6) + D2</f>
        <v>0.6896551724</v>
      </c>
      <c r="E9" s="65">
        <v>1.623505519E9</v>
      </c>
      <c r="F9" s="66">
        <f>IFERROR(__xludf.DUMMYFUNCTION("INDEX(SPLIT(E9, char(10)), 0, 1)/86400+date(1970,1,1)"),44359.57313657408)</f>
        <v>44359.57314</v>
      </c>
      <c r="G9" s="67" t="s">
        <v>115</v>
      </c>
      <c r="H9" s="68" t="s">
        <v>116</v>
      </c>
      <c r="I9" s="5" t="s">
        <v>14</v>
      </c>
    </row>
    <row r="10">
      <c r="A10" s="71"/>
      <c r="B10" s="71"/>
      <c r="C10" s="71"/>
      <c r="D10" s="71"/>
      <c r="E10" s="65">
        <v>1.623505672E9</v>
      </c>
      <c r="F10" s="66">
        <f>IFERROR(__xludf.DUMMYFUNCTION("INDEX(SPLIT(E10, char(10)), 0, 1)/86400+date(1970,1,1)"),44359.57490740741)</f>
        <v>44359.57491</v>
      </c>
      <c r="G10" s="67" t="s">
        <v>117</v>
      </c>
      <c r="H10" s="68" t="s">
        <v>118</v>
      </c>
      <c r="I10" s="5" t="s">
        <v>17</v>
      </c>
    </row>
    <row r="11">
      <c r="A11" s="71"/>
      <c r="B11" s="71"/>
      <c r="C11" s="71"/>
      <c r="D11" s="71"/>
      <c r="E11" s="65">
        <v>1.623505763E9</v>
      </c>
      <c r="F11" s="66">
        <f>IFERROR(__xludf.DUMMYFUNCTION("INDEX(SPLIT(E11, char(10)), 0, 1)/86400+date(1970,1,1)"),44359.575960648144)</f>
        <v>44359.57596</v>
      </c>
      <c r="G11" s="67" t="s">
        <v>119</v>
      </c>
      <c r="H11" s="68" t="s">
        <v>120</v>
      </c>
      <c r="I11" s="5" t="s">
        <v>17</v>
      </c>
    </row>
    <row r="12">
      <c r="A12" s="72" t="s">
        <v>121</v>
      </c>
      <c r="B12" s="73" t="s">
        <v>122</v>
      </c>
      <c r="C12" s="74"/>
      <c r="D12" s="74"/>
      <c r="E12" s="65">
        <v>1.623506858E9</v>
      </c>
      <c r="F12" s="66">
        <f>IFERROR(__xludf.DUMMYFUNCTION("INDEX(SPLIT(E12, char(10)), 0, 1)/86400+date(1970,1,1)"),44359.58863425926)</f>
        <v>44359.58863</v>
      </c>
      <c r="G12" s="67" t="s">
        <v>123</v>
      </c>
      <c r="H12" s="68" t="s">
        <v>124</v>
      </c>
      <c r="I12" s="5" t="s">
        <v>16</v>
      </c>
    </row>
    <row r="13">
      <c r="A13" s="72" t="s">
        <v>125</v>
      </c>
      <c r="B13" s="74"/>
      <c r="C13" s="72" t="s">
        <v>89</v>
      </c>
      <c r="D13" s="72" t="s">
        <v>90</v>
      </c>
      <c r="E13" s="65">
        <v>1.623506972E9</v>
      </c>
      <c r="F13" s="66">
        <f>IFERROR(__xludf.DUMMYFUNCTION("INDEX(SPLIT(E13, char(10)), 0, 1)/86400+date(1970,1,1)"),44359.589953703704)</f>
        <v>44359.58995</v>
      </c>
      <c r="G13" s="67" t="s">
        <v>126</v>
      </c>
      <c r="H13" s="68" t="s">
        <v>127</v>
      </c>
      <c r="I13" s="5" t="s">
        <v>16</v>
      </c>
    </row>
    <row r="14">
      <c r="A14" s="5" t="s">
        <v>128</v>
      </c>
      <c r="B14" s="5" t="s">
        <v>129</v>
      </c>
      <c r="C14" s="75">
        <f t="shared" ref="C14:C17" si="5">COUNTIF($A$19:$A1000, A14)</f>
        <v>3</v>
      </c>
      <c r="D14" s="76">
        <f>IFERROR(__xludf.DUMMYFUNCTION("IF(C14, COUNTIF(FILTER($D$20:$D1000, $A$20:$A1000=A14), TRUE)/C14, 0)"),1.0)</f>
        <v>1</v>
      </c>
      <c r="E14" s="65">
        <v>1.623507116E9</v>
      </c>
      <c r="F14" s="66">
        <f>IFERROR(__xludf.DUMMYFUNCTION("INDEX(SPLIT(E14, char(10)), 0, 1)/86400+date(1970,1,1)"),44359.59162037037)</f>
        <v>44359.59162</v>
      </c>
      <c r="G14" s="67" t="s">
        <v>130</v>
      </c>
      <c r="H14" s="68" t="s">
        <v>131</v>
      </c>
      <c r="I14" s="68" t="s">
        <v>17</v>
      </c>
    </row>
    <row r="15">
      <c r="A15" s="5" t="s">
        <v>6</v>
      </c>
      <c r="B15" s="5" t="s">
        <v>132</v>
      </c>
      <c r="C15" s="75">
        <f t="shared" si="5"/>
        <v>3</v>
      </c>
      <c r="D15" s="76">
        <f>IFERROR(__xludf.DUMMYFUNCTION("IF(C15, COUNTIF(FILTER($D$20:$D1000, $A$20:$A1000=A15), TRUE)/C15, 0)"),0.6666666666666666)</f>
        <v>0.6666666667</v>
      </c>
      <c r="E15" s="65">
        <v>1.623507215E9</v>
      </c>
      <c r="F15" s="66">
        <f>IFERROR(__xludf.DUMMYFUNCTION("INDEX(SPLIT(E15, char(10)), 0, 1)/86400+date(1970,1,1)"),44359.5927662037)</f>
        <v>44359.59277</v>
      </c>
      <c r="G15" s="67" t="s">
        <v>133</v>
      </c>
      <c r="H15" s="68" t="s">
        <v>134</v>
      </c>
      <c r="I15" s="68" t="s">
        <v>15</v>
      </c>
    </row>
    <row r="16">
      <c r="A16" s="5" t="s">
        <v>7</v>
      </c>
      <c r="B16" s="5" t="s">
        <v>135</v>
      </c>
      <c r="C16" s="75">
        <f t="shared" si="5"/>
        <v>4</v>
      </c>
      <c r="D16" s="76">
        <f>IFERROR(__xludf.DUMMYFUNCTION("IF(C16, COUNTIF(FILTER($D$20:$D1000, $A$20:$A1000=A16), TRUE)/C16, 0)"),0.25)</f>
        <v>0.25</v>
      </c>
      <c r="E16" s="65">
        <v>1.623507459E9</v>
      </c>
      <c r="F16" s="66">
        <f>IFERROR(__xludf.DUMMYFUNCTION("INDEX(SPLIT(E16, char(10)), 0, 1)/86400+date(1970,1,1)"),44359.59559027778)</f>
        <v>44359.59559</v>
      </c>
      <c r="G16" s="67" t="s">
        <v>136</v>
      </c>
      <c r="H16" s="68" t="s">
        <v>137</v>
      </c>
      <c r="I16" s="5" t="s">
        <v>15</v>
      </c>
    </row>
    <row r="17">
      <c r="A17" s="5" t="s">
        <v>8</v>
      </c>
      <c r="B17" s="5" t="s">
        <v>79</v>
      </c>
      <c r="C17" s="75">
        <f t="shared" si="5"/>
        <v>4</v>
      </c>
      <c r="D17" s="76">
        <f>IFERROR(__xludf.DUMMYFUNCTION("IF(C17, COUNTIF(FILTER($D$20:$D1000, $A$20:$A1000=A17), TRUE)/C17, 0)"),0.5)</f>
        <v>0.5</v>
      </c>
      <c r="E17" s="65">
        <v>1.623507632E9</v>
      </c>
      <c r="F17" s="66">
        <f>IFERROR(__xludf.DUMMYFUNCTION("INDEX(SPLIT(E17, char(10)), 0, 1)/86400+date(1970,1,1)"),44359.59759259259)</f>
        <v>44359.59759</v>
      </c>
      <c r="G17" s="67" t="s">
        <v>138</v>
      </c>
      <c r="H17" s="68" t="s">
        <v>139</v>
      </c>
      <c r="I17" s="68" t="s">
        <v>14</v>
      </c>
    </row>
    <row r="18">
      <c r="A18" s="74"/>
      <c r="B18" s="72" t="s">
        <v>9</v>
      </c>
      <c r="C18" s="75">
        <f>SUM(C14:C17)</f>
        <v>14</v>
      </c>
      <c r="D18" s="76">
        <f>COUNTIF($D$19:$D1000, TRUE)/SUM($C$14:$C$17)</f>
        <v>0.5714285714</v>
      </c>
      <c r="E18" s="65">
        <v>1.623507738E9</v>
      </c>
      <c r="F18" s="66">
        <f>IFERROR(__xludf.DUMMYFUNCTION("INDEX(SPLIT(E18, char(10)), 0, 1)/86400+date(1970,1,1)"),44359.59881944444)</f>
        <v>44359.59882</v>
      </c>
      <c r="G18" s="67" t="s">
        <v>140</v>
      </c>
      <c r="H18" s="68" t="s">
        <v>141</v>
      </c>
      <c r="I18" s="5" t="s">
        <v>16</v>
      </c>
    </row>
    <row r="19">
      <c r="A19" s="72" t="s">
        <v>95</v>
      </c>
      <c r="B19" s="72" t="s">
        <v>142</v>
      </c>
      <c r="C19" s="72" t="s">
        <v>143</v>
      </c>
      <c r="D19" s="72" t="s">
        <v>144</v>
      </c>
      <c r="E19" s="65">
        <v>1.623507959E9</v>
      </c>
      <c r="F19" s="66">
        <f>IFERROR(__xludf.DUMMYFUNCTION("INDEX(SPLIT(E19, char(10)), 0, 1)/86400+date(1970,1,1)"),44359.601377314815)</f>
        <v>44359.60138</v>
      </c>
      <c r="G19" s="67" t="s">
        <v>145</v>
      </c>
      <c r="H19" s="68" t="s">
        <v>146</v>
      </c>
      <c r="I19" s="5" t="s">
        <v>16</v>
      </c>
    </row>
    <row r="20">
      <c r="A20" s="77" t="s">
        <v>7</v>
      </c>
      <c r="B20" s="77" t="s">
        <v>147</v>
      </c>
      <c r="C20" s="78">
        <v>1.0</v>
      </c>
      <c r="D20" s="79" t="b">
        <v>0</v>
      </c>
      <c r="E20" s="65">
        <v>1.623508419E9</v>
      </c>
      <c r="F20" s="66">
        <f>IFERROR(__xludf.DUMMYFUNCTION("INDEX(SPLIT(E20, char(10)), 0, 1)/86400+date(1970,1,1)"),44359.60670138889)</f>
        <v>44359.6067</v>
      </c>
      <c r="G20" s="67" t="s">
        <v>148</v>
      </c>
      <c r="H20" s="68" t="s">
        <v>149</v>
      </c>
      <c r="I20" s="5" t="s">
        <v>16</v>
      </c>
    </row>
    <row r="21">
      <c r="A21" s="77" t="s">
        <v>6</v>
      </c>
      <c r="B21" s="77" t="s">
        <v>150</v>
      </c>
      <c r="C21" s="78">
        <v>30.0</v>
      </c>
      <c r="D21" s="79" t="b">
        <v>0</v>
      </c>
      <c r="E21" s="65">
        <v>1.623508509E9</v>
      </c>
      <c r="F21" s="66">
        <f>IFERROR(__xludf.DUMMYFUNCTION("INDEX(SPLIT(E21, char(10)), 0, 1)/86400+date(1970,1,1)"),44359.60774305556)</f>
        <v>44359.60774</v>
      </c>
      <c r="G21" s="67" t="s">
        <v>151</v>
      </c>
      <c r="H21" s="68" t="s">
        <v>152</v>
      </c>
      <c r="I21" s="5" t="s">
        <v>16</v>
      </c>
    </row>
    <row r="22">
      <c r="A22" s="77" t="s">
        <v>7</v>
      </c>
      <c r="B22" s="77" t="s">
        <v>153</v>
      </c>
      <c r="C22" s="78">
        <v>45.0</v>
      </c>
      <c r="D22" s="79" t="b">
        <v>0</v>
      </c>
      <c r="E22" s="65">
        <v>1.623508609E9</v>
      </c>
      <c r="F22" s="66">
        <f>IFERROR(__xludf.DUMMYFUNCTION("INDEX(SPLIT(E22, char(10)), 0, 1)/86400+date(1970,1,1)"),44359.60890046296)</f>
        <v>44359.6089</v>
      </c>
      <c r="G22" s="67" t="s">
        <v>154</v>
      </c>
      <c r="H22" s="68" t="s">
        <v>155</v>
      </c>
      <c r="I22" s="68" t="s">
        <v>14</v>
      </c>
    </row>
    <row r="23">
      <c r="A23" s="77" t="s">
        <v>7</v>
      </c>
      <c r="B23" s="77" t="s">
        <v>156</v>
      </c>
      <c r="C23" s="78">
        <v>45.0</v>
      </c>
      <c r="D23" s="79" t="b">
        <v>0</v>
      </c>
      <c r="E23" s="65">
        <v>1.62350874E9</v>
      </c>
      <c r="F23" s="66">
        <f>IFERROR(__xludf.DUMMYFUNCTION("INDEX(SPLIT(E23, char(10)), 0, 1)/86400+date(1970,1,1)"),44359.61041666666)</f>
        <v>44359.61042</v>
      </c>
      <c r="G23" s="67" t="s">
        <v>157</v>
      </c>
      <c r="H23" s="68" t="s">
        <v>158</v>
      </c>
      <c r="I23" s="68" t="s">
        <v>17</v>
      </c>
    </row>
    <row r="24">
      <c r="A24" s="5" t="s">
        <v>6</v>
      </c>
      <c r="B24" s="5" t="s">
        <v>159</v>
      </c>
      <c r="C24" s="78">
        <v>47.0</v>
      </c>
      <c r="D24" s="79" t="b">
        <v>1</v>
      </c>
      <c r="E24" s="65">
        <v>1.623508955E9</v>
      </c>
      <c r="F24" s="66">
        <f>IFERROR(__xludf.DUMMYFUNCTION("INDEX(SPLIT(E24, char(10)), 0, 1)/86400+date(1970,1,1)"),44359.612905092596)</f>
        <v>44359.61291</v>
      </c>
      <c r="G24" s="67" t="s">
        <v>160</v>
      </c>
      <c r="H24" s="68" t="s">
        <v>161</v>
      </c>
      <c r="I24" s="5" t="s">
        <v>17</v>
      </c>
    </row>
    <row r="25">
      <c r="A25" s="77" t="s">
        <v>128</v>
      </c>
      <c r="B25" s="74" t="s">
        <v>162</v>
      </c>
      <c r="C25" s="78">
        <v>49.0</v>
      </c>
      <c r="D25" s="79" t="b">
        <v>1</v>
      </c>
      <c r="E25" s="65">
        <v>1.623509047E9</v>
      </c>
      <c r="F25" s="66">
        <f>IFERROR(__xludf.DUMMYFUNCTION("INDEX(SPLIT(E25, char(10)), 0, 1)/86400+date(1970,1,1)"),44359.61396990741)</f>
        <v>44359.61397</v>
      </c>
      <c r="G25" s="67" t="s">
        <v>163</v>
      </c>
      <c r="H25" s="68" t="s">
        <v>164</v>
      </c>
      <c r="I25" s="68" t="s">
        <v>17</v>
      </c>
    </row>
    <row r="26">
      <c r="A26" s="77" t="s">
        <v>6</v>
      </c>
      <c r="B26" s="74" t="s">
        <v>165</v>
      </c>
      <c r="C26" s="78">
        <v>63.0</v>
      </c>
      <c r="D26" s="80" t="b">
        <v>1</v>
      </c>
      <c r="E26" s="65">
        <v>1.62350925E9</v>
      </c>
      <c r="F26" s="66">
        <f>IFERROR(__xludf.DUMMYFUNCTION("INDEX(SPLIT(E26, char(10)), 0, 1)/86400+date(1970,1,1)"),44359.616319444445)</f>
        <v>44359.61632</v>
      </c>
      <c r="G26" s="67" t="s">
        <v>166</v>
      </c>
      <c r="H26" s="68" t="s">
        <v>167</v>
      </c>
      <c r="I26" s="5" t="s">
        <v>16</v>
      </c>
    </row>
    <row r="27">
      <c r="A27" s="77" t="s">
        <v>8</v>
      </c>
      <c r="B27" s="74" t="s">
        <v>168</v>
      </c>
      <c r="C27" s="78">
        <v>66.0</v>
      </c>
      <c r="D27" s="80" t="b">
        <v>1</v>
      </c>
      <c r="E27" s="65">
        <v>1.623509385E9</v>
      </c>
      <c r="F27" s="66">
        <f>IFERROR(__xludf.DUMMYFUNCTION("INDEX(SPLIT(E27, char(10)), 0, 1)/86400+date(1970,1,1)"),44359.61788194445)</f>
        <v>44359.61788</v>
      </c>
      <c r="G27" s="67" t="s">
        <v>169</v>
      </c>
      <c r="H27" s="68" t="s">
        <v>170</v>
      </c>
      <c r="I27" s="5" t="s">
        <v>17</v>
      </c>
    </row>
    <row r="28">
      <c r="A28" s="77" t="s">
        <v>128</v>
      </c>
      <c r="B28" s="74" t="s">
        <v>159</v>
      </c>
      <c r="C28" s="78">
        <v>74.0</v>
      </c>
      <c r="D28" s="80" t="b">
        <v>1</v>
      </c>
      <c r="E28" s="65">
        <v>1.623509539E9</v>
      </c>
      <c r="F28" s="66">
        <f>IFERROR(__xludf.DUMMYFUNCTION("INDEX(SPLIT(E28, char(10)), 0, 1)/86400+date(1970,1,1)"),44359.61966435185)</f>
        <v>44359.61966</v>
      </c>
      <c r="G28" s="67" t="s">
        <v>171</v>
      </c>
      <c r="H28" s="68" t="s">
        <v>172</v>
      </c>
      <c r="I28" s="68" t="s">
        <v>75</v>
      </c>
    </row>
    <row r="29">
      <c r="A29" s="77" t="s">
        <v>8</v>
      </c>
      <c r="B29" s="74" t="s">
        <v>173</v>
      </c>
      <c r="C29" s="78">
        <v>75.0</v>
      </c>
      <c r="D29" s="80" t="b">
        <v>1</v>
      </c>
      <c r="E29" s="81">
        <v>1.623509644E9</v>
      </c>
      <c r="F29" s="66">
        <f>IFERROR(__xludf.DUMMYFUNCTION("INDEX(SPLIT(E29, char(10)), 0, 1)/86400+date(1970,1,1)"),44359.62087962963)</f>
        <v>44359.62088</v>
      </c>
      <c r="G29" s="67" t="s">
        <v>174</v>
      </c>
      <c r="H29" s="68" t="s">
        <v>175</v>
      </c>
      <c r="I29" s="68" t="s">
        <v>14</v>
      </c>
    </row>
    <row r="30">
      <c r="A30" s="77" t="s">
        <v>8</v>
      </c>
      <c r="B30" s="74" t="s">
        <v>176</v>
      </c>
      <c r="C30" s="78">
        <v>84.0</v>
      </c>
      <c r="D30" s="80" t="b">
        <v>0</v>
      </c>
      <c r="E30" s="82">
        <v>1.623509779E9</v>
      </c>
      <c r="F30" s="66">
        <f>IFERROR(__xludf.DUMMYFUNCTION("INDEX(SPLIT(E30, char(10)), 0, 1)/86400+date(1970,1,1)"),44359.62244212963)</f>
        <v>44359.62244</v>
      </c>
      <c r="G30" s="83" t="s">
        <v>177</v>
      </c>
      <c r="H30" s="68" t="s">
        <v>178</v>
      </c>
      <c r="I30" s="40" t="s">
        <v>16</v>
      </c>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1</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A44" s="71"/>
      <c r="B44" s="71"/>
      <c r="C44" s="71"/>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3</v>
      </c>
      <c r="D2" s="64">
        <f t="shared" ref="D2:D6" si="2">C2/COUNTA(I$2:I1000)</f>
        <v>0.1578947368</v>
      </c>
      <c r="E2" s="65">
        <v>1.623503841E9</v>
      </c>
      <c r="F2" s="66">
        <f>IFERROR(__xludf.DUMMYFUNCTION("INDEX(SPLIT(E2, char(10)), 0, 1)/86400+date(1970,1,1)"),44359.553715277776)</f>
        <v>44359.55372</v>
      </c>
      <c r="G2" s="67" t="s">
        <v>182</v>
      </c>
      <c r="H2" s="68" t="s">
        <v>183</v>
      </c>
      <c r="I2" s="68" t="s">
        <v>17</v>
      </c>
      <c r="J2" s="40"/>
    </row>
    <row r="3">
      <c r="A3" s="40" t="s">
        <v>14</v>
      </c>
      <c r="B3" s="40" t="s">
        <v>99</v>
      </c>
      <c r="C3" s="40">
        <f t="shared" si="1"/>
        <v>1</v>
      </c>
      <c r="D3" s="64">
        <f t="shared" si="2"/>
        <v>0.05263157895</v>
      </c>
      <c r="E3" s="65">
        <v>1.623505669E9</v>
      </c>
      <c r="F3" s="66">
        <f>IFERROR(__xludf.DUMMYFUNCTION("INDEX(SPLIT(E3, char(10)), 0, 1)/86400+date(1970,1,1)"),44359.57487268519)</f>
        <v>44359.57487</v>
      </c>
      <c r="G3" s="67" t="s">
        <v>184</v>
      </c>
      <c r="H3" s="68" t="s">
        <v>185</v>
      </c>
      <c r="I3" s="68" t="s">
        <v>17</v>
      </c>
      <c r="J3" s="40"/>
    </row>
    <row r="4">
      <c r="A4" s="40" t="s">
        <v>15</v>
      </c>
      <c r="B4" s="40" t="s">
        <v>102</v>
      </c>
      <c r="C4" s="40">
        <f t="shared" si="1"/>
        <v>2</v>
      </c>
      <c r="D4" s="64">
        <f t="shared" si="2"/>
        <v>0.1052631579</v>
      </c>
      <c r="E4" s="65">
        <v>1.623505792E9</v>
      </c>
      <c r="F4" s="66">
        <f>IFERROR(__xludf.DUMMYFUNCTION("INDEX(SPLIT(E4, char(10)), 0, 1)/86400+date(1970,1,1)"),44359.5762962963)</f>
        <v>44359.5763</v>
      </c>
      <c r="G4" s="67" t="s">
        <v>186</v>
      </c>
      <c r="H4" s="68" t="s">
        <v>187</v>
      </c>
      <c r="I4" s="68" t="s">
        <v>75</v>
      </c>
      <c r="J4" s="40"/>
    </row>
    <row r="5">
      <c r="A5" s="40" t="s">
        <v>16</v>
      </c>
      <c r="B5" s="40" t="s">
        <v>105</v>
      </c>
      <c r="C5" s="40">
        <f t="shared" si="1"/>
        <v>7</v>
      </c>
      <c r="D5" s="64">
        <f t="shared" si="2"/>
        <v>0.3684210526</v>
      </c>
      <c r="E5" s="65">
        <v>1.623506858E9</v>
      </c>
      <c r="F5" s="66">
        <f>IFERROR(__xludf.DUMMYFUNCTION("INDEX(SPLIT(E5, char(10)), 0, 1)/86400+date(1970,1,1)"),44359.58863425926)</f>
        <v>44359.58863</v>
      </c>
      <c r="G5" s="67" t="s">
        <v>188</v>
      </c>
      <c r="H5" s="68" t="s">
        <v>189</v>
      </c>
      <c r="I5" s="68" t="s">
        <v>16</v>
      </c>
      <c r="J5" s="40"/>
    </row>
    <row r="6">
      <c r="A6" s="40" t="s">
        <v>17</v>
      </c>
      <c r="B6" s="40" t="s">
        <v>108</v>
      </c>
      <c r="C6" s="40">
        <f t="shared" si="1"/>
        <v>6</v>
      </c>
      <c r="D6" s="64">
        <f t="shared" si="2"/>
        <v>0.3157894737</v>
      </c>
      <c r="E6" s="65">
        <v>1.623506965E9</v>
      </c>
      <c r="F6" s="66">
        <f>IFERROR(__xludf.DUMMYFUNCTION("INDEX(SPLIT(E6, char(10)), 0, 1)/86400+date(1970,1,1)"),44359.58987268519)</f>
        <v>44359.58987</v>
      </c>
      <c r="G6" s="67" t="s">
        <v>190</v>
      </c>
      <c r="H6" s="68" t="s">
        <v>191</v>
      </c>
      <c r="I6" s="68" t="s">
        <v>16</v>
      </c>
    </row>
    <row r="7">
      <c r="B7" s="40" t="s">
        <v>13</v>
      </c>
      <c r="C7" s="69">
        <f t="shared" ref="C7:D7" si="3">SUM(C2:C6)</f>
        <v>19</v>
      </c>
      <c r="D7" s="70">
        <f t="shared" si="3"/>
        <v>1</v>
      </c>
      <c r="E7" s="65">
        <v>1.623507096E9</v>
      </c>
      <c r="F7" s="66">
        <f>IFERROR(__xludf.DUMMYFUNCTION("INDEX(SPLIT(E7, char(10)), 0, 1)/86400+date(1970,1,1)"),44359.59138888889)</f>
        <v>44359.59139</v>
      </c>
      <c r="G7" s="67" t="s">
        <v>192</v>
      </c>
      <c r="H7" s="68" t="s">
        <v>193</v>
      </c>
      <c r="I7" s="68" t="s">
        <v>17</v>
      </c>
    </row>
    <row r="8">
      <c r="A8" s="71"/>
      <c r="B8" s="40" t="s">
        <v>18</v>
      </c>
      <c r="C8" s="57">
        <f t="shared" ref="C8:D8" si="4">SUM(C5:C6)</f>
        <v>13</v>
      </c>
      <c r="D8" s="14">
        <f t="shared" si="4"/>
        <v>0.6842105263</v>
      </c>
      <c r="E8" s="65">
        <v>1.623507275E9</v>
      </c>
      <c r="F8" s="66">
        <f>IFERROR(__xludf.DUMMYFUNCTION("INDEX(SPLIT(E8, char(10)), 0, 1)/86400+date(1970,1,1)"),44359.593460648146)</f>
        <v>44359.59346</v>
      </c>
      <c r="G8" s="67" t="s">
        <v>194</v>
      </c>
      <c r="H8" s="68" t="s">
        <v>195</v>
      </c>
      <c r="I8" s="68" t="s">
        <v>15</v>
      </c>
    </row>
    <row r="9">
      <c r="A9" s="71"/>
      <c r="B9" s="40" t="s">
        <v>47</v>
      </c>
      <c r="C9" s="57">
        <f>SUM(C6:C7)</f>
        <v>25</v>
      </c>
      <c r="D9" s="14">
        <f>SUM(D5:D6) + D2</f>
        <v>0.8421052632</v>
      </c>
      <c r="E9" s="65">
        <v>1.623507738E9</v>
      </c>
      <c r="F9" s="66">
        <f>IFERROR(__xludf.DUMMYFUNCTION("INDEX(SPLIT(E9, char(10)), 0, 1)/86400+date(1970,1,1)"),44359.59881944444)</f>
        <v>44359.59882</v>
      </c>
      <c r="G9" s="67" t="s">
        <v>196</v>
      </c>
      <c r="H9" s="68" t="s">
        <v>197</v>
      </c>
      <c r="I9" s="68" t="s">
        <v>16</v>
      </c>
    </row>
    <row r="10">
      <c r="A10" s="71"/>
      <c r="B10" s="71"/>
      <c r="C10" s="71"/>
      <c r="D10" s="71"/>
      <c r="E10" s="65">
        <v>1.623507973E9</v>
      </c>
      <c r="F10" s="66">
        <f>IFERROR(__xludf.DUMMYFUNCTION("INDEX(SPLIT(E10, char(10)), 0, 1)/86400+date(1970,1,1)"),44359.60153935185)</f>
        <v>44359.60154</v>
      </c>
      <c r="G10" s="67" t="s">
        <v>198</v>
      </c>
      <c r="H10" s="68" t="s">
        <v>199</v>
      </c>
      <c r="I10" s="68" t="s">
        <v>16</v>
      </c>
    </row>
    <row r="11">
      <c r="A11" s="71"/>
      <c r="B11" s="71"/>
      <c r="C11" s="71"/>
      <c r="D11" s="71"/>
      <c r="E11" s="65">
        <v>1.623508442E9</v>
      </c>
      <c r="F11" s="66">
        <f>IFERROR(__xludf.DUMMYFUNCTION("INDEX(SPLIT(E11, char(10)), 0, 1)/86400+date(1970,1,1)"),44359.6069675926)</f>
        <v>44359.60697</v>
      </c>
      <c r="G11" s="67" t="s">
        <v>200</v>
      </c>
      <c r="H11" s="68" t="s">
        <v>201</v>
      </c>
      <c r="I11" s="68" t="s">
        <v>16</v>
      </c>
    </row>
    <row r="12">
      <c r="A12" s="72" t="s">
        <v>121</v>
      </c>
      <c r="B12" s="73" t="s">
        <v>202</v>
      </c>
      <c r="C12" s="74"/>
      <c r="D12" s="74"/>
      <c r="E12" s="65">
        <v>1.623508563E9</v>
      </c>
      <c r="F12" s="66">
        <f>IFERROR(__xludf.DUMMYFUNCTION("INDEX(SPLIT(E12, char(10)), 0, 1)/86400+date(1970,1,1)"),44359.60836805556)</f>
        <v>44359.60837</v>
      </c>
      <c r="G12" s="67" t="s">
        <v>203</v>
      </c>
      <c r="H12" s="68" t="s">
        <v>204</v>
      </c>
      <c r="I12" s="68" t="s">
        <v>16</v>
      </c>
    </row>
    <row r="13">
      <c r="A13" s="72" t="s">
        <v>125</v>
      </c>
      <c r="B13" s="74"/>
      <c r="C13" s="72" t="s">
        <v>89</v>
      </c>
      <c r="D13" s="72" t="s">
        <v>90</v>
      </c>
      <c r="E13" s="65">
        <v>1.623508798E9</v>
      </c>
      <c r="F13" s="66">
        <f>IFERROR(__xludf.DUMMYFUNCTION("INDEX(SPLIT(E13, char(10)), 0, 1)/86400+date(1970,1,1)"),44359.61108796296)</f>
        <v>44359.61109</v>
      </c>
      <c r="G13" s="67" t="s">
        <v>205</v>
      </c>
      <c r="H13" s="68" t="s">
        <v>206</v>
      </c>
      <c r="I13" s="68" t="s">
        <v>15</v>
      </c>
    </row>
    <row r="14">
      <c r="A14" s="5" t="s">
        <v>128</v>
      </c>
      <c r="B14" s="5" t="s">
        <v>129</v>
      </c>
      <c r="C14" s="75">
        <f t="shared" ref="C14:C17" si="5">COUNTIF($A$19:$A1000, A14)</f>
        <v>3</v>
      </c>
      <c r="D14" s="76">
        <f>IFERROR(__xludf.DUMMYFUNCTION("IF(C14, COUNTIF(FILTER($D$20:$D1000, $A$20:$A1000=A14), TRUE)/C14, 0)"),1.0)</f>
        <v>1</v>
      </c>
      <c r="E14" s="65">
        <v>1.623509028E9</v>
      </c>
      <c r="F14" s="66">
        <f>IFERROR(__xludf.DUMMYFUNCTION("INDEX(SPLIT(E14, char(10)), 0, 1)/86400+date(1970,1,1)"),44359.613750000004)</f>
        <v>44359.61375</v>
      </c>
      <c r="G14" s="67" t="s">
        <v>207</v>
      </c>
      <c r="H14" s="68" t="s">
        <v>208</v>
      </c>
      <c r="I14" s="68" t="s">
        <v>17</v>
      </c>
    </row>
    <row r="15">
      <c r="A15" s="5" t="s">
        <v>6</v>
      </c>
      <c r="B15" s="5" t="s">
        <v>132</v>
      </c>
      <c r="C15" s="75">
        <f t="shared" si="5"/>
        <v>3</v>
      </c>
      <c r="D15" s="76">
        <f>IFERROR(__xludf.DUMMYFUNCTION("IF(C15, COUNTIF(FILTER($D$20:$D1000, $A$20:$A1000=A15), TRUE)/C15, 0)"),0.6666666666666666)</f>
        <v>0.6666666667</v>
      </c>
      <c r="E15" s="65">
        <v>1.623509129E9</v>
      </c>
      <c r="F15" s="66">
        <f>IFERROR(__xludf.DUMMYFUNCTION("INDEX(SPLIT(E15, char(10)), 0, 1)/86400+date(1970,1,1)"),44359.61491898148)</f>
        <v>44359.61492</v>
      </c>
      <c r="G15" s="67" t="s">
        <v>209</v>
      </c>
      <c r="H15" s="68" t="s">
        <v>210</v>
      </c>
      <c r="I15" s="68" t="s">
        <v>16</v>
      </c>
    </row>
    <row r="16">
      <c r="A16" s="5" t="s">
        <v>7</v>
      </c>
      <c r="B16" s="5" t="s">
        <v>135</v>
      </c>
      <c r="C16" s="75">
        <f t="shared" si="5"/>
        <v>4</v>
      </c>
      <c r="D16" s="76">
        <f>IFERROR(__xludf.DUMMYFUNCTION("IF(C16, COUNTIF(FILTER($D$20:$D1000, $A$20:$A1000=A16), TRUE)/C16, 0)"),0.0)</f>
        <v>0</v>
      </c>
      <c r="E16" s="65">
        <v>1.62350925E9</v>
      </c>
      <c r="F16" s="66">
        <f>IFERROR(__xludf.DUMMYFUNCTION("INDEX(SPLIT(E16, char(10)), 0, 1)/86400+date(1970,1,1)"),44359.616319444445)</f>
        <v>44359.61632</v>
      </c>
      <c r="G16" s="67" t="s">
        <v>211</v>
      </c>
      <c r="H16" s="68" t="s">
        <v>212</v>
      </c>
      <c r="I16" s="68" t="s">
        <v>75</v>
      </c>
    </row>
    <row r="17">
      <c r="A17" s="5" t="s">
        <v>8</v>
      </c>
      <c r="B17" s="5" t="s">
        <v>79</v>
      </c>
      <c r="C17" s="75">
        <f t="shared" si="5"/>
        <v>4</v>
      </c>
      <c r="D17" s="76">
        <f>IFERROR(__xludf.DUMMYFUNCTION("IF(C17, COUNTIF(FILTER($D$20:$D1000, $A$20:$A1000=A17), TRUE)/C17, 0)"),0.5)</f>
        <v>0.5</v>
      </c>
      <c r="E17" s="65">
        <v>1.623509394E9</v>
      </c>
      <c r="F17" s="66">
        <f>IFERROR(__xludf.DUMMYFUNCTION("INDEX(SPLIT(E17, char(10)), 0, 1)/86400+date(1970,1,1)"),44359.617986111116)</f>
        <v>44359.61799</v>
      </c>
      <c r="G17" s="67" t="s">
        <v>213</v>
      </c>
      <c r="H17" s="68" t="s">
        <v>214</v>
      </c>
      <c r="I17" s="68" t="s">
        <v>17</v>
      </c>
    </row>
    <row r="18">
      <c r="A18" s="74"/>
      <c r="B18" s="72" t="s">
        <v>9</v>
      </c>
      <c r="C18" s="75">
        <f>SUM(C14:C17)</f>
        <v>14</v>
      </c>
      <c r="D18" s="76">
        <f>COUNTIF($D$19:$D1000, TRUE)/SUM($C$14:$C$17)</f>
        <v>0.5</v>
      </c>
      <c r="E18" s="65">
        <v>1.623509485E9</v>
      </c>
      <c r="F18" s="66">
        <f>IFERROR(__xludf.DUMMYFUNCTION("INDEX(SPLIT(E18, char(10)), 0, 1)/86400+date(1970,1,1)"),44359.61903935185)</f>
        <v>44359.61904</v>
      </c>
      <c r="G18" s="67" t="s">
        <v>215</v>
      </c>
      <c r="H18" s="68" t="s">
        <v>216</v>
      </c>
      <c r="I18" s="68" t="s">
        <v>17</v>
      </c>
    </row>
    <row r="19">
      <c r="A19" s="72" t="s">
        <v>95</v>
      </c>
      <c r="B19" s="72" t="s">
        <v>142</v>
      </c>
      <c r="C19" s="72" t="s">
        <v>143</v>
      </c>
      <c r="D19" s="72" t="s">
        <v>144</v>
      </c>
      <c r="E19" s="65">
        <v>1.623509578E9</v>
      </c>
      <c r="F19" s="66">
        <f>IFERROR(__xludf.DUMMYFUNCTION("INDEX(SPLIT(E19, char(10)), 0, 1)/86400+date(1970,1,1)"),44359.62011574074)</f>
        <v>44359.62012</v>
      </c>
      <c r="G19" s="67" t="s">
        <v>217</v>
      </c>
      <c r="H19" s="68" t="s">
        <v>218</v>
      </c>
      <c r="I19" s="68" t="s">
        <v>14</v>
      </c>
    </row>
    <row r="20">
      <c r="A20" s="77" t="s">
        <v>7</v>
      </c>
      <c r="B20" s="77" t="s">
        <v>147</v>
      </c>
      <c r="C20" s="78">
        <v>1.0</v>
      </c>
      <c r="D20" s="80" t="b">
        <v>0</v>
      </c>
      <c r="E20" s="65">
        <v>1.623509698E9</v>
      </c>
      <c r="F20" s="66">
        <f>IFERROR(__xludf.DUMMYFUNCTION("INDEX(SPLIT(E20, char(10)), 0, 1)/86400+date(1970,1,1)"),44359.62150462963)</f>
        <v>44359.6215</v>
      </c>
      <c r="G20" s="67" t="s">
        <v>219</v>
      </c>
      <c r="H20" s="68" t="s">
        <v>220</v>
      </c>
      <c r="I20" s="68" t="s">
        <v>75</v>
      </c>
    </row>
    <row r="21">
      <c r="A21" s="77" t="s">
        <v>6</v>
      </c>
      <c r="B21" s="77" t="s">
        <v>150</v>
      </c>
      <c r="C21" s="78">
        <v>30.0</v>
      </c>
      <c r="D21" s="80" t="b">
        <v>0</v>
      </c>
      <c r="E21" s="65"/>
      <c r="F21" s="66"/>
      <c r="G21" s="67"/>
      <c r="H21" s="68"/>
      <c r="I21" s="5"/>
    </row>
    <row r="22">
      <c r="A22" s="77" t="s">
        <v>7</v>
      </c>
      <c r="B22" s="77" t="s">
        <v>153</v>
      </c>
      <c r="C22" s="78">
        <v>45.0</v>
      </c>
      <c r="D22" s="80" t="b">
        <v>0</v>
      </c>
      <c r="E22" s="65"/>
      <c r="F22" s="66"/>
      <c r="G22" s="67"/>
      <c r="H22" s="68"/>
      <c r="I22" s="68"/>
    </row>
    <row r="23">
      <c r="A23" s="77" t="s">
        <v>7</v>
      </c>
      <c r="B23" s="77" t="s">
        <v>156</v>
      </c>
      <c r="C23" s="78">
        <v>45.0</v>
      </c>
      <c r="D23" s="80" t="b">
        <v>0</v>
      </c>
      <c r="E23" s="65"/>
      <c r="F23" s="66"/>
      <c r="G23" s="67"/>
      <c r="H23" s="68"/>
      <c r="I23" s="68"/>
    </row>
    <row r="24">
      <c r="A24" s="5" t="s">
        <v>6</v>
      </c>
      <c r="B24" s="5" t="s">
        <v>159</v>
      </c>
      <c r="C24" s="78">
        <v>47.0</v>
      </c>
      <c r="D24" s="80" t="b">
        <v>1</v>
      </c>
      <c r="E24" s="65"/>
      <c r="F24" s="66"/>
      <c r="G24" s="67"/>
      <c r="H24" s="68"/>
      <c r="I24" s="5"/>
    </row>
    <row r="25">
      <c r="A25" s="77" t="s">
        <v>128</v>
      </c>
      <c r="B25" s="74" t="s">
        <v>162</v>
      </c>
      <c r="C25" s="78">
        <v>49.0</v>
      </c>
      <c r="D25" s="80" t="b">
        <v>1</v>
      </c>
      <c r="E25" s="65"/>
      <c r="F25" s="66"/>
      <c r="G25" s="67"/>
      <c r="H25" s="68"/>
      <c r="I25" s="68"/>
    </row>
    <row r="26">
      <c r="A26" s="77" t="s">
        <v>6</v>
      </c>
      <c r="B26" s="74" t="s">
        <v>165</v>
      </c>
      <c r="C26" s="78">
        <v>63.0</v>
      </c>
      <c r="D26" s="80" t="b">
        <v>1</v>
      </c>
      <c r="E26" s="65"/>
      <c r="F26" s="66"/>
      <c r="G26" s="67"/>
      <c r="H26" s="68"/>
      <c r="I26" s="5"/>
    </row>
    <row r="27">
      <c r="A27" s="77" t="s">
        <v>8</v>
      </c>
      <c r="B27" s="74" t="s">
        <v>168</v>
      </c>
      <c r="C27" s="78">
        <v>66.0</v>
      </c>
      <c r="D27" s="80" t="b">
        <v>1</v>
      </c>
      <c r="E27" s="65"/>
      <c r="F27" s="66"/>
      <c r="G27" s="67"/>
      <c r="H27" s="68"/>
      <c r="I27" s="5"/>
    </row>
    <row r="28">
      <c r="A28" s="77" t="s">
        <v>128</v>
      </c>
      <c r="B28" s="74" t="s">
        <v>159</v>
      </c>
      <c r="C28" s="78">
        <v>74.0</v>
      </c>
      <c r="D28" s="80" t="b">
        <v>1</v>
      </c>
      <c r="E28" s="65"/>
      <c r="F28" s="66"/>
      <c r="G28" s="67"/>
      <c r="H28" s="68"/>
      <c r="I28" s="68"/>
    </row>
    <row r="29">
      <c r="A29" s="77" t="s">
        <v>8</v>
      </c>
      <c r="B29" s="74" t="s">
        <v>173</v>
      </c>
      <c r="C29" s="78">
        <v>75.0</v>
      </c>
      <c r="D29" s="80" t="b">
        <v>1</v>
      </c>
      <c r="E29" s="81"/>
      <c r="F29" s="66"/>
      <c r="G29" s="67"/>
      <c r="H29" s="68"/>
      <c r="I29" s="68"/>
    </row>
    <row r="30">
      <c r="A30" s="77" t="s">
        <v>8</v>
      </c>
      <c r="B30" s="74" t="s">
        <v>176</v>
      </c>
      <c r="C30" s="78">
        <v>84.0</v>
      </c>
      <c r="D30" s="80" t="b">
        <v>0</v>
      </c>
      <c r="E30" s="82"/>
      <c r="F30" s="66"/>
      <c r="G30" s="83"/>
      <c r="H30" s="68"/>
      <c r="I30" s="41"/>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0</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0.02564102564</v>
      </c>
      <c r="E2" s="65">
        <v>1.623502877E9</v>
      </c>
      <c r="F2" s="66">
        <f>IFERROR(__xludf.DUMMYFUNCTION("INDEX(SPLIT(E2, char(10)), 0, 1)/86400+date(1970,1,1)"),44359.54255787037)</f>
        <v>44359.54256</v>
      </c>
      <c r="G2" s="67" t="s">
        <v>221</v>
      </c>
      <c r="H2" s="68" t="s">
        <v>222</v>
      </c>
      <c r="I2" s="68" t="s">
        <v>16</v>
      </c>
      <c r="J2" s="40"/>
    </row>
    <row r="3">
      <c r="A3" s="40" t="s">
        <v>14</v>
      </c>
      <c r="B3" s="40" t="s">
        <v>99</v>
      </c>
      <c r="C3" s="40">
        <f t="shared" si="1"/>
        <v>3</v>
      </c>
      <c r="D3" s="64">
        <f t="shared" si="2"/>
        <v>0.07692307692</v>
      </c>
      <c r="E3" s="65">
        <v>1.62350385E9</v>
      </c>
      <c r="F3" s="66">
        <f>IFERROR(__xludf.DUMMYFUNCTION("INDEX(SPLIT(E3, char(10)), 0, 1)/86400+date(1970,1,1)"),44359.553819444445)</f>
        <v>44359.55382</v>
      </c>
      <c r="G3" s="67" t="s">
        <v>223</v>
      </c>
      <c r="H3" s="68" t="s">
        <v>224</v>
      </c>
      <c r="I3" s="68" t="s">
        <v>17</v>
      </c>
      <c r="J3" s="40"/>
    </row>
    <row r="4">
      <c r="A4" s="40" t="s">
        <v>15</v>
      </c>
      <c r="B4" s="40" t="s">
        <v>102</v>
      </c>
      <c r="C4" s="40">
        <f t="shared" si="1"/>
        <v>5</v>
      </c>
      <c r="D4" s="64">
        <f t="shared" si="2"/>
        <v>0.1282051282</v>
      </c>
      <c r="E4" s="65">
        <v>1.623504162E9</v>
      </c>
      <c r="F4" s="66">
        <f>IFERROR(__xludf.DUMMYFUNCTION("INDEX(SPLIT(E4, char(10)), 0, 1)/86400+date(1970,1,1)"),44359.55743055556)</f>
        <v>44359.55743</v>
      </c>
      <c r="G4" s="67" t="s">
        <v>225</v>
      </c>
      <c r="H4" s="68" t="s">
        <v>226</v>
      </c>
      <c r="I4" s="68" t="s">
        <v>17</v>
      </c>
      <c r="J4" s="40"/>
    </row>
    <row r="5">
      <c r="A5" s="40" t="s">
        <v>16</v>
      </c>
      <c r="B5" s="40" t="s">
        <v>105</v>
      </c>
      <c r="C5" s="40">
        <f t="shared" si="1"/>
        <v>8</v>
      </c>
      <c r="D5" s="64">
        <f t="shared" si="2"/>
        <v>0.2051282051</v>
      </c>
      <c r="E5" s="65">
        <v>1.623504254E9</v>
      </c>
      <c r="F5" s="66">
        <f>IFERROR(__xludf.DUMMYFUNCTION("INDEX(SPLIT(E5, char(10)), 0, 1)/86400+date(1970,1,1)"),44359.558495370366)</f>
        <v>44359.5585</v>
      </c>
      <c r="G5" s="67" t="s">
        <v>227</v>
      </c>
      <c r="H5" s="68" t="s">
        <v>228</v>
      </c>
      <c r="I5" s="68" t="s">
        <v>17</v>
      </c>
      <c r="J5" s="40"/>
    </row>
    <row r="6">
      <c r="A6" s="40" t="s">
        <v>17</v>
      </c>
      <c r="B6" s="40" t="s">
        <v>108</v>
      </c>
      <c r="C6" s="40">
        <f t="shared" si="1"/>
        <v>22</v>
      </c>
      <c r="D6" s="64">
        <f t="shared" si="2"/>
        <v>0.5641025641</v>
      </c>
      <c r="E6" s="65">
        <v>1.623504437E9</v>
      </c>
      <c r="F6" s="66">
        <f>IFERROR(__xludf.DUMMYFUNCTION("INDEX(SPLIT(E6, char(10)), 0, 1)/86400+date(1970,1,1)"),44359.56061342593)</f>
        <v>44359.56061</v>
      </c>
      <c r="G6" s="67" t="s">
        <v>229</v>
      </c>
      <c r="H6" s="68" t="s">
        <v>230</v>
      </c>
      <c r="I6" s="68" t="s">
        <v>15</v>
      </c>
    </row>
    <row r="7">
      <c r="B7" s="40" t="s">
        <v>13</v>
      </c>
      <c r="C7" s="69">
        <f t="shared" ref="C7:D7" si="3">SUM(C2:C6)</f>
        <v>39</v>
      </c>
      <c r="D7" s="70">
        <f t="shared" si="3"/>
        <v>1</v>
      </c>
      <c r="E7" s="65">
        <v>1.62350457E9</v>
      </c>
      <c r="F7" s="66">
        <f>IFERROR(__xludf.DUMMYFUNCTION("INDEX(SPLIT(E7, char(10)), 0, 1)/86400+date(1970,1,1)"),44359.56215277778)</f>
        <v>44359.56215</v>
      </c>
      <c r="G7" s="67" t="s">
        <v>231</v>
      </c>
      <c r="H7" s="68" t="s">
        <v>232</v>
      </c>
      <c r="I7" s="68" t="s">
        <v>15</v>
      </c>
    </row>
    <row r="8">
      <c r="A8" s="71"/>
      <c r="B8" s="40" t="s">
        <v>18</v>
      </c>
      <c r="C8" s="57">
        <f t="shared" ref="C8:D8" si="4">SUM(C5:C6)</f>
        <v>30</v>
      </c>
      <c r="D8" s="14">
        <f t="shared" si="4"/>
        <v>0.7692307692</v>
      </c>
      <c r="E8" s="65">
        <v>1.623504705E9</v>
      </c>
      <c r="F8" s="66">
        <f>IFERROR(__xludf.DUMMYFUNCTION("INDEX(SPLIT(E8, char(10)), 0, 1)/86400+date(1970,1,1)"),44359.56371527778)</f>
        <v>44359.56372</v>
      </c>
      <c r="G8" s="67" t="s">
        <v>233</v>
      </c>
      <c r="H8" s="68" t="s">
        <v>234</v>
      </c>
      <c r="I8" s="68" t="s">
        <v>17</v>
      </c>
    </row>
    <row r="9">
      <c r="A9" s="71"/>
      <c r="B9" s="40" t="s">
        <v>47</v>
      </c>
      <c r="C9" s="57">
        <f>SUM(C6:C7)</f>
        <v>61</v>
      </c>
      <c r="D9" s="14">
        <f>SUM(D5:D6) + D2</f>
        <v>0.7948717949</v>
      </c>
      <c r="E9" s="65">
        <v>1.623504831E9</v>
      </c>
      <c r="F9" s="66">
        <f>IFERROR(__xludf.DUMMYFUNCTION("INDEX(SPLIT(E9, char(10)), 0, 1)/86400+date(1970,1,1)"),44359.56517361111)</f>
        <v>44359.56517</v>
      </c>
      <c r="G9" s="67" t="s">
        <v>235</v>
      </c>
      <c r="H9" s="68" t="s">
        <v>236</v>
      </c>
      <c r="I9" s="68" t="s">
        <v>17</v>
      </c>
    </row>
    <row r="10">
      <c r="A10" s="71"/>
      <c r="B10" s="71"/>
      <c r="C10" s="71"/>
      <c r="D10" s="71"/>
      <c r="E10" s="65">
        <v>1.623505394E9</v>
      </c>
      <c r="F10" s="66">
        <f>IFERROR(__xludf.DUMMYFUNCTION("INDEX(SPLIT(E10, char(10)), 0, 1)/86400+date(1970,1,1)"),44359.57168981481)</f>
        <v>44359.57169</v>
      </c>
      <c r="G10" s="67" t="s">
        <v>237</v>
      </c>
      <c r="H10" s="68" t="s">
        <v>238</v>
      </c>
      <c r="I10" s="68" t="s">
        <v>15</v>
      </c>
    </row>
    <row r="11">
      <c r="A11" s="71"/>
      <c r="B11" s="71"/>
      <c r="C11" s="71"/>
      <c r="D11" s="71"/>
      <c r="E11" s="65">
        <v>1.6235055E9</v>
      </c>
      <c r="F11" s="66">
        <f>IFERROR(__xludf.DUMMYFUNCTION("INDEX(SPLIT(E11, char(10)), 0, 1)/86400+date(1970,1,1)"),44359.57291666667)</f>
        <v>44359.57292</v>
      </c>
      <c r="G11" s="67" t="s">
        <v>239</v>
      </c>
      <c r="H11" s="68" t="s">
        <v>240</v>
      </c>
      <c r="I11" s="68" t="s">
        <v>17</v>
      </c>
    </row>
    <row r="12">
      <c r="A12" s="72" t="s">
        <v>121</v>
      </c>
      <c r="B12" s="73" t="s">
        <v>241</v>
      </c>
      <c r="C12" s="74"/>
      <c r="D12" s="74"/>
      <c r="E12" s="65">
        <v>1.623505604E9</v>
      </c>
      <c r="F12" s="66">
        <f>IFERROR(__xludf.DUMMYFUNCTION("INDEX(SPLIT(E12, char(10)), 0, 1)/86400+date(1970,1,1)"),44359.574120370366)</f>
        <v>44359.57412</v>
      </c>
      <c r="G12" s="67" t="s">
        <v>242</v>
      </c>
      <c r="H12" s="68" t="s">
        <v>243</v>
      </c>
      <c r="I12" s="68" t="s">
        <v>17</v>
      </c>
    </row>
    <row r="13">
      <c r="A13" s="72" t="s">
        <v>125</v>
      </c>
      <c r="B13" s="74"/>
      <c r="C13" s="72" t="s">
        <v>89</v>
      </c>
      <c r="D13" s="72" t="s">
        <v>90</v>
      </c>
      <c r="E13" s="65">
        <v>1.623505705E9</v>
      </c>
      <c r="F13" s="66">
        <f>IFERROR(__xludf.DUMMYFUNCTION("INDEX(SPLIT(E13, char(10)), 0, 1)/86400+date(1970,1,1)"),44359.57528935185)</f>
        <v>44359.57529</v>
      </c>
      <c r="G13" s="67" t="s">
        <v>244</v>
      </c>
      <c r="H13" s="68" t="s">
        <v>245</v>
      </c>
      <c r="I13" s="68" t="s">
        <v>17</v>
      </c>
    </row>
    <row r="14">
      <c r="A14" s="5" t="s">
        <v>128</v>
      </c>
      <c r="B14" s="5" t="s">
        <v>129</v>
      </c>
      <c r="C14" s="75">
        <f t="shared" ref="C14:C17" si="5">COUNTIF($A$19:$A1000, A14)</f>
        <v>3</v>
      </c>
      <c r="D14" s="76">
        <f>IFERROR(__xludf.DUMMYFUNCTION("IF(C14, COUNTIF(FILTER($D$20:$D1000, $A$20:$A1000=A14), TRUE)/C14, 0)"),0.6666666666666666)</f>
        <v>0.6666666667</v>
      </c>
      <c r="E14" s="65">
        <v>1.623505801E9</v>
      </c>
      <c r="F14" s="66">
        <f>IFERROR(__xludf.DUMMYFUNCTION("INDEX(SPLIT(E14, char(10)), 0, 1)/86400+date(1970,1,1)"),44359.57640046296)</f>
        <v>44359.5764</v>
      </c>
      <c r="G14" s="67" t="s">
        <v>246</v>
      </c>
      <c r="H14" s="68" t="s">
        <v>247</v>
      </c>
      <c r="I14" s="68" t="s">
        <v>17</v>
      </c>
    </row>
    <row r="15">
      <c r="A15" s="5" t="s">
        <v>6</v>
      </c>
      <c r="B15" s="5" t="s">
        <v>132</v>
      </c>
      <c r="C15" s="75">
        <f t="shared" si="5"/>
        <v>3</v>
      </c>
      <c r="D15" s="76">
        <f>IFERROR(__xludf.DUMMYFUNCTION("IF(C15, COUNTIF(FILTER($D$20:$D1000, $A$20:$A1000=A15), TRUE)/C15, 0)"),0.6666666666666666)</f>
        <v>0.6666666667</v>
      </c>
      <c r="E15" s="65">
        <v>1.62350603E9</v>
      </c>
      <c r="F15" s="66">
        <f>IFERROR(__xludf.DUMMYFUNCTION("INDEX(SPLIT(E15, char(10)), 0, 1)/86400+date(1970,1,1)"),44359.579050925924)</f>
        <v>44359.57905</v>
      </c>
      <c r="G15" s="67" t="s">
        <v>248</v>
      </c>
      <c r="H15" s="68" t="s">
        <v>249</v>
      </c>
      <c r="I15" s="68" t="s">
        <v>75</v>
      </c>
    </row>
    <row r="16">
      <c r="A16" s="5" t="s">
        <v>7</v>
      </c>
      <c r="B16" s="5" t="s">
        <v>135</v>
      </c>
      <c r="C16" s="75">
        <f t="shared" si="5"/>
        <v>4</v>
      </c>
      <c r="D16" s="76">
        <f>IFERROR(__xludf.DUMMYFUNCTION("IF(C16, COUNTIF(FILTER($D$20:$D1000, $A$20:$A1000=A16), TRUE)/C16, 0)"),0.5)</f>
        <v>0.5</v>
      </c>
      <c r="E16" s="65">
        <v>1.623506862E9</v>
      </c>
      <c r="F16" s="66">
        <f>IFERROR(__xludf.DUMMYFUNCTION("INDEX(SPLIT(E16, char(10)), 0, 1)/86400+date(1970,1,1)"),44359.58868055556)</f>
        <v>44359.58868</v>
      </c>
      <c r="G16" s="67" t="s">
        <v>250</v>
      </c>
      <c r="H16" s="68" t="s">
        <v>251</v>
      </c>
      <c r="I16" s="68" t="s">
        <v>16</v>
      </c>
    </row>
    <row r="17">
      <c r="A17" s="5" t="s">
        <v>8</v>
      </c>
      <c r="B17" s="5" t="s">
        <v>79</v>
      </c>
      <c r="C17" s="75">
        <f t="shared" si="5"/>
        <v>4</v>
      </c>
      <c r="D17" s="76">
        <f>IFERROR(__xludf.DUMMYFUNCTION("IF(C17, COUNTIF(FILTER($D$20:$D1000, $A$20:$A1000=A17), TRUE)/C17, 0)"),0.5)</f>
        <v>0.5</v>
      </c>
      <c r="E17" s="65">
        <v>1.623506957E9</v>
      </c>
      <c r="F17" s="66">
        <f>IFERROR(__xludf.DUMMYFUNCTION("INDEX(SPLIT(E17, char(10)), 0, 1)/86400+date(1970,1,1)"),44359.58978009259)</f>
        <v>44359.58978</v>
      </c>
      <c r="G17" s="67" t="s">
        <v>252</v>
      </c>
      <c r="H17" s="68" t="s">
        <v>253</v>
      </c>
      <c r="I17" s="68" t="s">
        <v>17</v>
      </c>
    </row>
    <row r="18">
      <c r="A18" s="74"/>
      <c r="B18" s="72" t="s">
        <v>9</v>
      </c>
      <c r="C18" s="75">
        <f>SUM(C14:C17)</f>
        <v>14</v>
      </c>
      <c r="D18" s="76">
        <f>COUNTIF($D$19:$D1000, TRUE)/SUM($C$14:$C$17)</f>
        <v>0.5714285714</v>
      </c>
      <c r="E18" s="65">
        <v>1.623507222E9</v>
      </c>
      <c r="F18" s="66">
        <f>IFERROR(__xludf.DUMMYFUNCTION("INDEX(SPLIT(E18, char(10)), 0, 1)/86400+date(1970,1,1)"),44359.59284722222)</f>
        <v>44359.59285</v>
      </c>
      <c r="G18" s="67" t="s">
        <v>254</v>
      </c>
      <c r="H18" s="68" t="s">
        <v>255</v>
      </c>
      <c r="I18" s="68" t="s">
        <v>17</v>
      </c>
    </row>
    <row r="19">
      <c r="A19" s="72" t="s">
        <v>95</v>
      </c>
      <c r="B19" s="72" t="s">
        <v>142</v>
      </c>
      <c r="C19" s="72" t="s">
        <v>143</v>
      </c>
      <c r="D19" s="72" t="s">
        <v>144</v>
      </c>
      <c r="E19" s="65">
        <v>1.623507348E9</v>
      </c>
      <c r="F19" s="66">
        <f>IFERROR(__xludf.DUMMYFUNCTION("INDEX(SPLIT(E19, char(10)), 0, 1)/86400+date(1970,1,1)"),44359.594305555554)</f>
        <v>44359.59431</v>
      </c>
      <c r="G19" s="67" t="s">
        <v>256</v>
      </c>
      <c r="H19" s="68" t="s">
        <v>257</v>
      </c>
      <c r="I19" s="68" t="s">
        <v>14</v>
      </c>
    </row>
    <row r="20">
      <c r="A20" s="77" t="s">
        <v>7</v>
      </c>
      <c r="B20" s="77" t="s">
        <v>147</v>
      </c>
      <c r="C20" s="78">
        <v>1.0</v>
      </c>
      <c r="D20" s="80" t="b">
        <v>1</v>
      </c>
      <c r="E20" s="65">
        <v>1.623507454E9</v>
      </c>
      <c r="F20" s="66">
        <f>IFERROR(__xludf.DUMMYFUNCTION("INDEX(SPLIT(E20, char(10)), 0, 1)/86400+date(1970,1,1)"),44359.5955324074)</f>
        <v>44359.59553</v>
      </c>
      <c r="G20" s="67" t="s">
        <v>258</v>
      </c>
      <c r="H20" s="68" t="s">
        <v>259</v>
      </c>
      <c r="I20" s="68" t="s">
        <v>17</v>
      </c>
    </row>
    <row r="21">
      <c r="A21" s="77" t="s">
        <v>6</v>
      </c>
      <c r="B21" s="77" t="s">
        <v>150</v>
      </c>
      <c r="C21" s="78">
        <v>30.0</v>
      </c>
      <c r="D21" s="80" t="b">
        <v>0</v>
      </c>
      <c r="E21" s="65">
        <v>1.623507566E9</v>
      </c>
      <c r="F21" s="66">
        <f>IFERROR(__xludf.DUMMYFUNCTION("INDEX(SPLIT(E21, char(10)), 0, 1)/86400+date(1970,1,1)"),44359.5968287037)</f>
        <v>44359.59683</v>
      </c>
      <c r="G21" s="67" t="s">
        <v>260</v>
      </c>
      <c r="H21" s="68" t="s">
        <v>261</v>
      </c>
      <c r="I21" s="68" t="s">
        <v>17</v>
      </c>
    </row>
    <row r="22">
      <c r="A22" s="77" t="s">
        <v>7</v>
      </c>
      <c r="B22" s="77" t="s">
        <v>153</v>
      </c>
      <c r="C22" s="78">
        <v>45.0</v>
      </c>
      <c r="D22" s="80" t="b">
        <v>0</v>
      </c>
      <c r="E22" s="65">
        <v>1.623507734E9</v>
      </c>
      <c r="F22" s="66">
        <f>IFERROR(__xludf.DUMMYFUNCTION("INDEX(SPLIT(E22, char(10)), 0, 1)/86400+date(1970,1,1)"),44359.598773148144)</f>
        <v>44359.59877</v>
      </c>
      <c r="G22" s="67" t="s">
        <v>262</v>
      </c>
      <c r="H22" s="68" t="s">
        <v>263</v>
      </c>
      <c r="I22" s="68" t="s">
        <v>16</v>
      </c>
    </row>
    <row r="23">
      <c r="A23" s="77" t="s">
        <v>7</v>
      </c>
      <c r="B23" s="77" t="s">
        <v>156</v>
      </c>
      <c r="C23" s="78">
        <v>45.0</v>
      </c>
      <c r="D23" s="80" t="b">
        <v>0</v>
      </c>
      <c r="E23" s="65">
        <v>1.623507876E9</v>
      </c>
      <c r="F23" s="66">
        <f>IFERROR(__xludf.DUMMYFUNCTION("INDEX(SPLIT(E23, char(10)), 0, 1)/86400+date(1970,1,1)"),44359.60041666667)</f>
        <v>44359.60042</v>
      </c>
      <c r="G23" s="67" t="s">
        <v>264</v>
      </c>
      <c r="H23" s="68" t="s">
        <v>265</v>
      </c>
      <c r="I23" s="68" t="s">
        <v>17</v>
      </c>
    </row>
    <row r="24">
      <c r="A24" s="5" t="s">
        <v>6</v>
      </c>
      <c r="B24" s="5" t="s">
        <v>159</v>
      </c>
      <c r="C24" s="78">
        <v>47.0</v>
      </c>
      <c r="D24" s="80" t="b">
        <v>1</v>
      </c>
      <c r="E24" s="65">
        <v>1.623507982E9</v>
      </c>
      <c r="F24" s="66">
        <f>IFERROR(__xludf.DUMMYFUNCTION("INDEX(SPLIT(E24, char(10)), 0, 1)/86400+date(1970,1,1)"),44359.601643518516)</f>
        <v>44359.60164</v>
      </c>
      <c r="G24" s="67" t="s">
        <v>266</v>
      </c>
      <c r="H24" s="68" t="s">
        <v>267</v>
      </c>
      <c r="I24" s="68" t="s">
        <v>16</v>
      </c>
    </row>
    <row r="25">
      <c r="A25" s="77" t="s">
        <v>128</v>
      </c>
      <c r="B25" s="74" t="s">
        <v>162</v>
      </c>
      <c r="C25" s="78">
        <v>49.0</v>
      </c>
      <c r="D25" s="80" t="b">
        <v>0</v>
      </c>
      <c r="E25" s="65">
        <v>1.623508104E9</v>
      </c>
      <c r="F25" s="66">
        <f>IFERROR(__xludf.DUMMYFUNCTION("INDEX(SPLIT(E25, char(10)), 0, 1)/86400+date(1970,1,1)"),44359.603055555555)</f>
        <v>44359.60306</v>
      </c>
      <c r="G25" s="67" t="s">
        <v>268</v>
      </c>
      <c r="H25" s="68" t="s">
        <v>269</v>
      </c>
      <c r="I25" s="68" t="s">
        <v>14</v>
      </c>
    </row>
    <row r="26">
      <c r="A26" s="77" t="s">
        <v>6</v>
      </c>
      <c r="B26" s="74" t="s">
        <v>165</v>
      </c>
      <c r="C26" s="78">
        <v>63.0</v>
      </c>
      <c r="D26" s="80" t="b">
        <v>1</v>
      </c>
      <c r="E26" s="65">
        <v>1.623508235E9</v>
      </c>
      <c r="F26" s="66">
        <f>IFERROR(__xludf.DUMMYFUNCTION("INDEX(SPLIT(E26, char(10)), 0, 1)/86400+date(1970,1,1)"),44359.604571759264)</f>
        <v>44359.60457</v>
      </c>
      <c r="G26" s="67" t="s">
        <v>270</v>
      </c>
      <c r="H26" s="68" t="s">
        <v>271</v>
      </c>
      <c r="I26" s="68" t="s">
        <v>14</v>
      </c>
    </row>
    <row r="27">
      <c r="A27" s="77" t="s">
        <v>8</v>
      </c>
      <c r="B27" s="74" t="s">
        <v>168</v>
      </c>
      <c r="C27" s="78">
        <v>66.0</v>
      </c>
      <c r="D27" s="80" t="b">
        <v>1</v>
      </c>
      <c r="E27" s="65">
        <v>1.623508345E9</v>
      </c>
      <c r="F27" s="66">
        <f>IFERROR(__xludf.DUMMYFUNCTION("INDEX(SPLIT(E27, char(10)), 0, 1)/86400+date(1970,1,1)"),44359.605844907404)</f>
        <v>44359.60584</v>
      </c>
      <c r="G27" s="67" t="s">
        <v>272</v>
      </c>
      <c r="H27" s="68" t="s">
        <v>273</v>
      </c>
      <c r="I27" s="68" t="s">
        <v>16</v>
      </c>
    </row>
    <row r="28">
      <c r="A28" s="77" t="s">
        <v>128</v>
      </c>
      <c r="B28" s="74" t="s">
        <v>159</v>
      </c>
      <c r="C28" s="78">
        <v>74.0</v>
      </c>
      <c r="D28" s="80" t="b">
        <v>1</v>
      </c>
      <c r="E28" s="65">
        <v>1.62350844E9</v>
      </c>
      <c r="F28" s="66">
        <f>IFERROR(__xludf.DUMMYFUNCTION("INDEX(SPLIT(E28, char(10)), 0, 1)/86400+date(1970,1,1)"),44359.606944444444)</f>
        <v>44359.60694</v>
      </c>
      <c r="G28" s="67" t="s">
        <v>274</v>
      </c>
      <c r="H28" s="68" t="s">
        <v>275</v>
      </c>
      <c r="I28" s="68" t="s">
        <v>17</v>
      </c>
    </row>
    <row r="29">
      <c r="A29" s="77" t="s">
        <v>8</v>
      </c>
      <c r="B29" s="74" t="s">
        <v>173</v>
      </c>
      <c r="C29" s="78">
        <v>75.0</v>
      </c>
      <c r="D29" s="80" t="b">
        <v>1</v>
      </c>
      <c r="E29" s="81">
        <v>1.623508536E9</v>
      </c>
      <c r="F29" s="66">
        <f>IFERROR(__xludf.DUMMYFUNCTION("INDEX(SPLIT(E29, char(10)), 0, 1)/86400+date(1970,1,1)"),44359.60805555555)</f>
        <v>44359.60806</v>
      </c>
      <c r="G29" s="67" t="s">
        <v>276</v>
      </c>
      <c r="H29" s="68" t="s">
        <v>277</v>
      </c>
      <c r="I29" s="68" t="s">
        <v>16</v>
      </c>
    </row>
    <row r="30">
      <c r="A30" s="77" t="s">
        <v>8</v>
      </c>
      <c r="B30" s="74" t="s">
        <v>176</v>
      </c>
      <c r="C30" s="78">
        <v>84.0</v>
      </c>
      <c r="D30" s="80" t="b">
        <v>0</v>
      </c>
      <c r="E30" s="82">
        <v>1.623508626E9</v>
      </c>
      <c r="F30" s="66">
        <f>IFERROR(__xludf.DUMMYFUNCTION("INDEX(SPLIT(E30, char(10)), 0, 1)/86400+date(1970,1,1)"),44359.60909722222)</f>
        <v>44359.6091</v>
      </c>
      <c r="G30" s="83" t="s">
        <v>278</v>
      </c>
      <c r="H30" s="68" t="s">
        <v>279</v>
      </c>
      <c r="I30" s="40" t="s">
        <v>17</v>
      </c>
    </row>
    <row r="31">
      <c r="A31" s="77" t="s">
        <v>128</v>
      </c>
      <c r="B31" s="74" t="s">
        <v>179</v>
      </c>
      <c r="C31" s="78">
        <v>85.0</v>
      </c>
      <c r="D31" s="80" t="b">
        <v>1</v>
      </c>
      <c r="E31" s="84">
        <v>1.623508775E9</v>
      </c>
      <c r="F31" s="66">
        <f>IFERROR(__xludf.DUMMYFUNCTION("INDEX(SPLIT(E31, char(10)), 0, 1)/86400+date(1970,1,1)"),44359.610821759255)</f>
        <v>44359.61082</v>
      </c>
      <c r="G31" s="83" t="s">
        <v>280</v>
      </c>
      <c r="H31" s="68" t="s">
        <v>281</v>
      </c>
      <c r="I31" s="40" t="s">
        <v>15</v>
      </c>
    </row>
    <row r="32">
      <c r="A32" s="77" t="s">
        <v>8</v>
      </c>
      <c r="B32" s="74" t="s">
        <v>180</v>
      </c>
      <c r="C32" s="78">
        <v>93.0</v>
      </c>
      <c r="D32" s="80" t="b">
        <v>0</v>
      </c>
      <c r="E32" s="84">
        <v>1.623508891E9</v>
      </c>
      <c r="F32" s="66">
        <f>IFERROR(__xludf.DUMMYFUNCTION("INDEX(SPLIT(E32, char(10)), 0, 1)/86400+date(1970,1,1)"),44359.612164351856)</f>
        <v>44359.61216</v>
      </c>
      <c r="G32" s="83" t="s">
        <v>282</v>
      </c>
      <c r="H32" s="68" t="s">
        <v>283</v>
      </c>
      <c r="I32" s="40" t="s">
        <v>17</v>
      </c>
    </row>
    <row r="33">
      <c r="A33" s="77" t="s">
        <v>7</v>
      </c>
      <c r="B33" s="74" t="s">
        <v>181</v>
      </c>
      <c r="C33" s="78">
        <v>90.0</v>
      </c>
      <c r="D33" s="80" t="b">
        <v>1</v>
      </c>
      <c r="E33" s="84">
        <v>1.623509004E9</v>
      </c>
      <c r="F33" s="66">
        <f>IFERROR(__xludf.DUMMYFUNCTION("INDEX(SPLIT(E33, char(10)), 0, 1)/86400+date(1970,1,1)"),44359.61347222222)</f>
        <v>44359.61347</v>
      </c>
      <c r="G33" s="83" t="s">
        <v>284</v>
      </c>
      <c r="H33" s="68" t="s">
        <v>285</v>
      </c>
      <c r="I33" s="40" t="s">
        <v>17</v>
      </c>
    </row>
    <row r="34">
      <c r="A34" s="77"/>
      <c r="B34" s="74"/>
      <c r="C34" s="78"/>
      <c r="D34" s="79"/>
      <c r="E34" s="84">
        <v>1.623509097E9</v>
      </c>
      <c r="F34" s="66">
        <f>IFERROR(__xludf.DUMMYFUNCTION("INDEX(SPLIT(E34, char(10)), 0, 1)/86400+date(1970,1,1)"),44359.61454861111)</f>
        <v>44359.61455</v>
      </c>
      <c r="G34" s="83" t="s">
        <v>286</v>
      </c>
      <c r="H34" s="68" t="s">
        <v>287</v>
      </c>
      <c r="I34" s="40" t="s">
        <v>17</v>
      </c>
    </row>
    <row r="35">
      <c r="A35" s="77"/>
      <c r="B35" s="74"/>
      <c r="C35" s="78"/>
      <c r="D35" s="79"/>
      <c r="E35" s="84">
        <v>1.623509204E9</v>
      </c>
      <c r="F35" s="66">
        <f>IFERROR(__xludf.DUMMYFUNCTION("INDEX(SPLIT(E35, char(10)), 0, 1)/86400+date(1970,1,1)"),44359.61578703704)</f>
        <v>44359.61579</v>
      </c>
      <c r="G35" s="83" t="s">
        <v>288</v>
      </c>
      <c r="H35" s="68" t="s">
        <v>289</v>
      </c>
      <c r="I35" s="40" t="s">
        <v>16</v>
      </c>
    </row>
    <row r="36">
      <c r="A36" s="77"/>
      <c r="B36" s="74"/>
      <c r="C36" s="78"/>
      <c r="D36" s="79"/>
      <c r="E36" s="84">
        <v>1.62350936E9</v>
      </c>
      <c r="F36" s="66">
        <f>IFERROR(__xludf.DUMMYFUNCTION("INDEX(SPLIT(E36, char(10)), 0, 1)/86400+date(1970,1,1)"),44359.61759259259)</f>
        <v>44359.61759</v>
      </c>
      <c r="G36" s="83" t="s">
        <v>290</v>
      </c>
      <c r="H36" s="68" t="s">
        <v>291</v>
      </c>
      <c r="I36" s="40" t="s">
        <v>17</v>
      </c>
    </row>
    <row r="37">
      <c r="A37" s="77"/>
      <c r="B37" s="74"/>
      <c r="C37" s="78"/>
      <c r="D37" s="79"/>
      <c r="E37" s="84">
        <v>1.623509453E9</v>
      </c>
      <c r="F37" s="66">
        <f>IFERROR(__xludf.DUMMYFUNCTION("INDEX(SPLIT(E37, char(10)), 0, 1)/86400+date(1970,1,1)"),44359.61866898148)</f>
        <v>44359.61867</v>
      </c>
      <c r="G37" s="83" t="s">
        <v>292</v>
      </c>
      <c r="H37" s="68" t="s">
        <v>293</v>
      </c>
      <c r="I37" s="40" t="s">
        <v>17</v>
      </c>
    </row>
    <row r="38">
      <c r="A38" s="77"/>
      <c r="B38" s="74"/>
      <c r="C38" s="78"/>
      <c r="D38" s="79"/>
      <c r="E38" s="84">
        <v>1.623509561E9</v>
      </c>
      <c r="F38" s="66">
        <f>IFERROR(__xludf.DUMMYFUNCTION("INDEX(SPLIT(E38, char(10)), 0, 1)/86400+date(1970,1,1)"),44359.61991898148)</f>
        <v>44359.61992</v>
      </c>
      <c r="G38" s="83" t="s">
        <v>294</v>
      </c>
      <c r="H38" s="68" t="s">
        <v>295</v>
      </c>
      <c r="I38" s="40" t="s">
        <v>15</v>
      </c>
    </row>
    <row r="39">
      <c r="A39" s="77"/>
      <c r="B39" s="74"/>
      <c r="C39" s="78"/>
      <c r="D39" s="79"/>
      <c r="E39" s="84">
        <v>1.623509725E9</v>
      </c>
      <c r="F39" s="66">
        <f>IFERROR(__xludf.DUMMYFUNCTION("INDEX(SPLIT(E39, char(10)), 0, 1)/86400+date(1970,1,1)"),44359.621817129635)</f>
        <v>44359.62182</v>
      </c>
      <c r="G39" s="83" t="s">
        <v>296</v>
      </c>
      <c r="H39" s="68" t="s">
        <v>297</v>
      </c>
      <c r="I39" s="40" t="s">
        <v>17</v>
      </c>
    </row>
    <row r="40">
      <c r="A40" s="77"/>
      <c r="B40" s="74"/>
      <c r="C40" s="78"/>
      <c r="D40" s="79"/>
      <c r="E40" s="84">
        <v>1.623509871E9</v>
      </c>
      <c r="F40" s="66">
        <f>IFERROR(__xludf.DUMMYFUNCTION("INDEX(SPLIT(E40, char(10)), 0, 1)/86400+date(1970,1,1)"),44359.623506944445)</f>
        <v>44359.62351</v>
      </c>
      <c r="G40" s="83" t="s">
        <v>298</v>
      </c>
      <c r="H40" s="68" t="s">
        <v>299</v>
      </c>
      <c r="I40" s="40" t="s">
        <v>16</v>
      </c>
    </row>
    <row r="41">
      <c r="A41" s="77"/>
      <c r="B41" s="74"/>
      <c r="C41" s="78"/>
      <c r="D41" s="79"/>
      <c r="E41" s="84"/>
      <c r="F41" s="66"/>
      <c r="G41" s="83"/>
      <c r="H41" s="68"/>
      <c r="I41" s="41"/>
    </row>
    <row r="42">
      <c r="A42" s="77"/>
      <c r="B42" s="74"/>
      <c r="C42" s="78"/>
      <c r="D42" s="80"/>
      <c r="E42" s="84"/>
      <c r="F42" s="66"/>
      <c r="G42" s="83"/>
      <c r="H42" s="68"/>
      <c r="I42" s="41"/>
    </row>
    <row r="43">
      <c r="F43" s="66"/>
      <c r="G43" s="83"/>
      <c r="H43" s="68"/>
      <c r="I43" s="41"/>
    </row>
    <row r="4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0.05128205128</v>
      </c>
      <c r="E2" s="40">
        <v>1.623438032E9</v>
      </c>
      <c r="F2" s="66">
        <f>IFERROR(__xludf.DUMMYFUNCTION("INDEX(SPLIT(E2, char(10)), 0, 1)/86400+date(1970,1,1)"),44358.79203703704)</f>
        <v>44358.79204</v>
      </c>
      <c r="G2" s="86" t="s">
        <v>300</v>
      </c>
      <c r="H2" s="86" t="s">
        <v>301</v>
      </c>
      <c r="I2" s="40" t="s">
        <v>17</v>
      </c>
      <c r="J2" s="40"/>
    </row>
    <row r="3">
      <c r="A3" s="40" t="s">
        <v>14</v>
      </c>
      <c r="B3" s="40" t="s">
        <v>99</v>
      </c>
      <c r="C3" s="40">
        <f t="shared" si="1"/>
        <v>5</v>
      </c>
      <c r="D3" s="64">
        <f t="shared" si="2"/>
        <v>0.1282051282</v>
      </c>
      <c r="E3" s="40">
        <v>1.623438126E9</v>
      </c>
      <c r="F3" s="66">
        <f>IFERROR(__xludf.DUMMYFUNCTION("INDEX(SPLIT(E3, char(10)), 0, 1)/86400+date(1970,1,1)"),44358.793125)</f>
        <v>44358.79313</v>
      </c>
      <c r="G3" s="86" t="s">
        <v>302</v>
      </c>
      <c r="H3" s="86" t="s">
        <v>303</v>
      </c>
      <c r="I3" s="40" t="s">
        <v>15</v>
      </c>
      <c r="J3" s="40"/>
    </row>
    <row r="4">
      <c r="A4" s="40" t="s">
        <v>15</v>
      </c>
      <c r="B4" s="40" t="s">
        <v>102</v>
      </c>
      <c r="C4" s="40">
        <f t="shared" si="1"/>
        <v>12</v>
      </c>
      <c r="D4" s="64">
        <f t="shared" si="2"/>
        <v>0.3076923077</v>
      </c>
      <c r="E4" s="40">
        <v>1.623438292E9</v>
      </c>
      <c r="F4" s="66">
        <f>IFERROR(__xludf.DUMMYFUNCTION("INDEX(SPLIT(E4, char(10)), 0, 1)/86400+date(1970,1,1)"),44358.7950462963)</f>
        <v>44358.79505</v>
      </c>
      <c r="G4" s="86" t="s">
        <v>304</v>
      </c>
      <c r="H4" s="86" t="s">
        <v>305</v>
      </c>
      <c r="I4" s="40" t="s">
        <v>15</v>
      </c>
      <c r="J4" s="40"/>
    </row>
    <row r="5">
      <c r="A5" s="40" t="s">
        <v>16</v>
      </c>
      <c r="B5" s="40" t="s">
        <v>105</v>
      </c>
      <c r="C5" s="40">
        <f t="shared" si="1"/>
        <v>6</v>
      </c>
      <c r="D5" s="64">
        <f t="shared" si="2"/>
        <v>0.1538461538</v>
      </c>
      <c r="E5" s="40">
        <v>1.623438655E9</v>
      </c>
      <c r="F5" s="66">
        <f>IFERROR(__xludf.DUMMYFUNCTION("INDEX(SPLIT(E5, char(10)), 0, 1)/86400+date(1970,1,1)"),44358.79924768519)</f>
        <v>44358.79925</v>
      </c>
      <c r="G5" s="86" t="s">
        <v>306</v>
      </c>
      <c r="H5" s="86" t="s">
        <v>307</v>
      </c>
      <c r="I5" s="40" t="s">
        <v>15</v>
      </c>
      <c r="J5" s="40"/>
    </row>
    <row r="6">
      <c r="A6" s="40" t="s">
        <v>17</v>
      </c>
      <c r="B6" s="40" t="s">
        <v>108</v>
      </c>
      <c r="C6" s="40">
        <f t="shared" si="1"/>
        <v>14</v>
      </c>
      <c r="D6" s="64">
        <f t="shared" si="2"/>
        <v>0.358974359</v>
      </c>
      <c r="E6" s="40">
        <v>1.62343894E9</v>
      </c>
      <c r="F6" s="66">
        <f>IFERROR(__xludf.DUMMYFUNCTION("INDEX(SPLIT(E6, char(10)), 0, 1)/86400+date(1970,1,1)"),44358.8025462963)</f>
        <v>44358.80255</v>
      </c>
      <c r="G6" s="86" t="s">
        <v>308</v>
      </c>
      <c r="H6" s="86" t="s">
        <v>309</v>
      </c>
      <c r="I6" s="40" t="s">
        <v>15</v>
      </c>
    </row>
    <row r="7">
      <c r="B7" s="40" t="s">
        <v>13</v>
      </c>
      <c r="C7" s="69">
        <f t="shared" ref="C7:D7" si="3">SUM(C2:C6)</f>
        <v>39</v>
      </c>
      <c r="D7" s="70">
        <f t="shared" si="3"/>
        <v>1</v>
      </c>
      <c r="E7" s="40">
        <v>1.623439094E9</v>
      </c>
      <c r="F7" s="66">
        <f>IFERROR(__xludf.DUMMYFUNCTION("INDEX(SPLIT(E7, char(10)), 0, 1)/86400+date(1970,1,1)"),44358.8043287037)</f>
        <v>44358.80433</v>
      </c>
      <c r="G7" s="86" t="s">
        <v>310</v>
      </c>
      <c r="H7" s="86" t="s">
        <v>311</v>
      </c>
      <c r="I7" s="40" t="s">
        <v>17</v>
      </c>
    </row>
    <row r="8">
      <c r="A8" s="71"/>
      <c r="B8" s="40" t="s">
        <v>18</v>
      </c>
      <c r="C8" s="57">
        <f t="shared" ref="C8:D8" si="4">SUM(C5:C6)</f>
        <v>20</v>
      </c>
      <c r="D8" s="14">
        <f t="shared" si="4"/>
        <v>0.5128205128</v>
      </c>
      <c r="E8" s="40">
        <v>1.623439209E9</v>
      </c>
      <c r="F8" s="66">
        <f>IFERROR(__xludf.DUMMYFUNCTION("INDEX(SPLIT(E8, char(10)), 0, 1)/86400+date(1970,1,1)"),44358.805659722224)</f>
        <v>44358.80566</v>
      </c>
      <c r="G8" s="86" t="s">
        <v>312</v>
      </c>
      <c r="H8" s="86" t="s">
        <v>313</v>
      </c>
      <c r="I8" s="40" t="s">
        <v>17</v>
      </c>
    </row>
    <row r="9">
      <c r="A9" s="71"/>
      <c r="B9" s="40" t="s">
        <v>47</v>
      </c>
      <c r="C9" s="57">
        <f>SUM(C6:C7)</f>
        <v>53</v>
      </c>
      <c r="D9" s="14">
        <f>SUM(D5:D6) + D2</f>
        <v>0.5641025641</v>
      </c>
      <c r="E9" s="40">
        <v>1.623439335E9</v>
      </c>
      <c r="F9" s="66">
        <f>IFERROR(__xludf.DUMMYFUNCTION("INDEX(SPLIT(E9, char(10)), 0, 1)/86400+date(1970,1,1)"),44358.807118055556)</f>
        <v>44358.80712</v>
      </c>
      <c r="G9" s="86" t="s">
        <v>314</v>
      </c>
      <c r="H9" s="86" t="s">
        <v>315</v>
      </c>
      <c r="I9" s="40" t="s">
        <v>17</v>
      </c>
    </row>
    <row r="10">
      <c r="A10" s="71"/>
      <c r="B10" s="71"/>
      <c r="C10" s="71"/>
      <c r="D10" s="71"/>
      <c r="E10" s="40">
        <v>1.623439691E9</v>
      </c>
      <c r="F10" s="66">
        <f>IFERROR(__xludf.DUMMYFUNCTION("INDEX(SPLIT(E10, char(10)), 0, 1)/86400+date(1970,1,1)"),44358.81123842593)</f>
        <v>44358.81124</v>
      </c>
      <c r="G10" s="86" t="s">
        <v>316</v>
      </c>
      <c r="H10" s="86" t="s">
        <v>317</v>
      </c>
      <c r="I10" s="40" t="s">
        <v>17</v>
      </c>
    </row>
    <row r="11">
      <c r="A11" s="71"/>
      <c r="B11" s="71"/>
      <c r="C11" s="71"/>
      <c r="D11" s="71"/>
      <c r="E11" s="40">
        <v>1.623439894E9</v>
      </c>
      <c r="F11" s="66">
        <f>IFERROR(__xludf.DUMMYFUNCTION("INDEX(SPLIT(E11, char(10)), 0, 1)/86400+date(1970,1,1)"),44358.81358796296)</f>
        <v>44358.81359</v>
      </c>
      <c r="G11" s="86" t="s">
        <v>318</v>
      </c>
      <c r="H11" s="86" t="s">
        <v>319</v>
      </c>
      <c r="I11" s="40" t="s">
        <v>17</v>
      </c>
    </row>
    <row r="12">
      <c r="A12" s="72" t="s">
        <v>121</v>
      </c>
      <c r="B12" s="87" t="s">
        <v>320</v>
      </c>
      <c r="C12" s="88"/>
      <c r="D12" s="74"/>
      <c r="E12" s="40">
        <v>1.623440031E9</v>
      </c>
      <c r="F12" s="66">
        <f>IFERROR(__xludf.DUMMYFUNCTION("INDEX(SPLIT(E12, char(10)), 0, 1)/86400+date(1970,1,1)"),44358.81517361111)</f>
        <v>44358.81517</v>
      </c>
      <c r="G12" s="86" t="s">
        <v>321</v>
      </c>
      <c r="H12" s="86" t="s">
        <v>322</v>
      </c>
      <c r="I12" s="40" t="s">
        <v>17</v>
      </c>
    </row>
    <row r="13">
      <c r="A13" s="72" t="s">
        <v>125</v>
      </c>
      <c r="B13" s="74"/>
      <c r="C13" s="72" t="s">
        <v>89</v>
      </c>
      <c r="D13" s="72" t="s">
        <v>90</v>
      </c>
      <c r="E13" s="40">
        <v>1.623440661E9</v>
      </c>
      <c r="F13" s="66">
        <f>IFERROR(__xludf.DUMMYFUNCTION("INDEX(SPLIT(E13, char(10)), 0, 1)/86400+date(1970,1,1)"),44358.82246527778)</f>
        <v>44358.82247</v>
      </c>
      <c r="G13" s="86" t="s">
        <v>323</v>
      </c>
      <c r="H13" s="86" t="s">
        <v>324</v>
      </c>
      <c r="I13" s="40" t="s">
        <v>17</v>
      </c>
    </row>
    <row r="14">
      <c r="A14" s="5" t="s">
        <v>128</v>
      </c>
      <c r="B14" s="5" t="s">
        <v>129</v>
      </c>
      <c r="C14" s="75">
        <f t="shared" ref="C14:C17" si="5">COUNTIF($A$19:$A1000, A14)</f>
        <v>3</v>
      </c>
      <c r="D14" s="76">
        <f>IFERROR(__xludf.DUMMYFUNCTION("IF(C14, COUNTIF(FILTER($D$19:$D1000, $A$19:$A1000=A14), TRUE)/C14, 0)"),1.0)</f>
        <v>1</v>
      </c>
      <c r="E14" s="40">
        <v>1.623440753E9</v>
      </c>
      <c r="F14" s="66">
        <f>IFERROR(__xludf.DUMMYFUNCTION("INDEX(SPLIT(E14, char(10)), 0, 1)/86400+date(1970,1,1)"),44358.82353009259)</f>
        <v>44358.82353</v>
      </c>
      <c r="G14" s="86" t="s">
        <v>325</v>
      </c>
      <c r="H14" s="86" t="s">
        <v>326</v>
      </c>
      <c r="I14" s="40" t="s">
        <v>17</v>
      </c>
    </row>
    <row r="15">
      <c r="A15" s="5" t="s">
        <v>6</v>
      </c>
      <c r="B15" s="5" t="s">
        <v>132</v>
      </c>
      <c r="C15" s="75">
        <f t="shared" si="5"/>
        <v>2</v>
      </c>
      <c r="D15" s="76">
        <f>IFERROR(__xludf.DUMMYFUNCTION("IF(C15, COUNTIF(FILTER($D$19:$D1000, $A$19:$A1000=A15), TRUE)/C15, 0)"),0.5)</f>
        <v>0.5</v>
      </c>
      <c r="E15" s="40">
        <v>1.623440939E9</v>
      </c>
      <c r="F15" s="66">
        <f>IFERROR(__xludf.DUMMYFUNCTION("INDEX(SPLIT(E15, char(10)), 0, 1)/86400+date(1970,1,1)"),44358.825682870374)</f>
        <v>44358.82568</v>
      </c>
      <c r="G15" s="86" t="s">
        <v>327</v>
      </c>
      <c r="H15" s="86" t="s">
        <v>328</v>
      </c>
      <c r="I15" s="40" t="s">
        <v>15</v>
      </c>
    </row>
    <row r="16">
      <c r="A16" s="5" t="s">
        <v>7</v>
      </c>
      <c r="B16" s="5" t="s">
        <v>135</v>
      </c>
      <c r="C16" s="75">
        <f t="shared" si="5"/>
        <v>4</v>
      </c>
      <c r="D16" s="76">
        <f>IFERROR(__xludf.DUMMYFUNCTION("IF(C16, COUNTIF(FILTER($D$19:$D1000, $A$19:$A1000=A16), TRUE)/C16, 0)"),0.5)</f>
        <v>0.5</v>
      </c>
      <c r="E16" s="40">
        <v>1.623441039E9</v>
      </c>
      <c r="F16" s="66">
        <f>IFERROR(__xludf.DUMMYFUNCTION("INDEX(SPLIT(E16, char(10)), 0, 1)/86400+date(1970,1,1)"),44358.826840277776)</f>
        <v>44358.82684</v>
      </c>
      <c r="G16" s="86" t="s">
        <v>329</v>
      </c>
      <c r="H16" s="86" t="s">
        <v>330</v>
      </c>
      <c r="I16" s="40" t="s">
        <v>14</v>
      </c>
    </row>
    <row r="17">
      <c r="A17" s="5" t="s">
        <v>8</v>
      </c>
      <c r="B17" s="5" t="s">
        <v>79</v>
      </c>
      <c r="C17" s="75">
        <f t="shared" si="5"/>
        <v>9</v>
      </c>
      <c r="D17" s="76">
        <f>IFERROR(__xludf.DUMMYFUNCTION("IF(C17, COUNTIF(FILTER($D$19:$D1000, $A$19:$A1000=A17), TRUE)/C17, 0)"),0.4444444444444444)</f>
        <v>0.4444444444</v>
      </c>
      <c r="E17" s="40">
        <v>1.623441179E9</v>
      </c>
      <c r="F17" s="66">
        <f>IFERROR(__xludf.DUMMYFUNCTION("INDEX(SPLIT(E17, char(10)), 0, 1)/86400+date(1970,1,1)"),44358.82846064815)</f>
        <v>44358.82846</v>
      </c>
      <c r="G17" s="86" t="s">
        <v>331</v>
      </c>
      <c r="H17" s="86" t="s">
        <v>332</v>
      </c>
      <c r="I17" s="40" t="s">
        <v>15</v>
      </c>
    </row>
    <row r="18">
      <c r="A18" s="74"/>
      <c r="B18" s="72" t="s">
        <v>9</v>
      </c>
      <c r="C18" s="75">
        <f>SUM(C14:C17)</f>
        <v>18</v>
      </c>
      <c r="D18" s="76">
        <f>COUNTIF($D$19:$D1000, TRUE)/SUM($C$14:$C$17)</f>
        <v>0.5555555556</v>
      </c>
      <c r="E18" s="40">
        <v>1.623441345E9</v>
      </c>
      <c r="F18" s="66">
        <f>IFERROR(__xludf.DUMMYFUNCTION("INDEX(SPLIT(E18, char(10)), 0, 1)/86400+date(1970,1,1)"),44358.83038194444)</f>
        <v>44358.83038</v>
      </c>
      <c r="G18" s="86" t="s">
        <v>333</v>
      </c>
      <c r="H18" s="86" t="s">
        <v>334</v>
      </c>
      <c r="I18" s="40" t="s">
        <v>15</v>
      </c>
    </row>
    <row r="19">
      <c r="A19" s="77" t="s">
        <v>7</v>
      </c>
      <c r="B19" s="77" t="s">
        <v>147</v>
      </c>
      <c r="C19" s="78">
        <v>1.0</v>
      </c>
      <c r="D19" s="80" t="b">
        <v>0</v>
      </c>
      <c r="E19" s="40">
        <v>1.623441623E9</v>
      </c>
      <c r="F19" s="66">
        <f>IFERROR(__xludf.DUMMYFUNCTION("INDEX(SPLIT(E19, char(10)), 0, 1)/86400+date(1970,1,1)"),44358.833599537036)</f>
        <v>44358.8336</v>
      </c>
      <c r="G19" s="86" t="s">
        <v>308</v>
      </c>
      <c r="H19" s="86" t="s">
        <v>335</v>
      </c>
      <c r="I19" s="40" t="s">
        <v>14</v>
      </c>
    </row>
    <row r="20">
      <c r="A20" s="77" t="s">
        <v>7</v>
      </c>
      <c r="B20" s="77" t="s">
        <v>153</v>
      </c>
      <c r="C20" s="78">
        <v>45.0</v>
      </c>
      <c r="D20" s="80" t="b">
        <v>0</v>
      </c>
      <c r="E20" s="40">
        <v>1.623441741E9</v>
      </c>
      <c r="F20" s="66">
        <f>IFERROR(__xludf.DUMMYFUNCTION("INDEX(SPLIT(E20, char(10)), 0, 1)/86400+date(1970,1,1)"),44358.834965277776)</f>
        <v>44358.83497</v>
      </c>
      <c r="G20" s="86" t="s">
        <v>336</v>
      </c>
      <c r="H20" s="86" t="s">
        <v>337</v>
      </c>
      <c r="I20" s="40" t="s">
        <v>16</v>
      </c>
    </row>
    <row r="21">
      <c r="A21" s="77" t="s">
        <v>7</v>
      </c>
      <c r="B21" s="77" t="s">
        <v>156</v>
      </c>
      <c r="C21" s="78">
        <v>45.0</v>
      </c>
      <c r="D21" s="80" t="b">
        <v>1</v>
      </c>
      <c r="E21" s="40">
        <v>1.623441893E9</v>
      </c>
      <c r="F21" s="66">
        <f>IFERROR(__xludf.DUMMYFUNCTION("INDEX(SPLIT(E21, char(10)), 0, 1)/86400+date(1970,1,1)"),44358.83672453703)</f>
        <v>44358.83672</v>
      </c>
      <c r="G21" s="86" t="s">
        <v>318</v>
      </c>
      <c r="H21" s="86" t="s">
        <v>338</v>
      </c>
      <c r="I21" s="40" t="s">
        <v>17</v>
      </c>
    </row>
    <row r="22">
      <c r="A22" s="77" t="s">
        <v>8</v>
      </c>
      <c r="B22" s="77" t="s">
        <v>339</v>
      </c>
      <c r="C22" s="78">
        <v>46.0</v>
      </c>
      <c r="D22" s="80" t="b">
        <v>1</v>
      </c>
      <c r="E22" s="40">
        <v>1.623442217E9</v>
      </c>
      <c r="F22" s="66">
        <f>IFERROR(__xludf.DUMMYFUNCTION("INDEX(SPLIT(E22, char(10)), 0, 1)/86400+date(1970,1,1)"),44358.840474537035)</f>
        <v>44358.84047</v>
      </c>
      <c r="G22" s="86" t="s">
        <v>340</v>
      </c>
      <c r="H22" s="86" t="s">
        <v>341</v>
      </c>
      <c r="I22" s="40" t="s">
        <v>14</v>
      </c>
    </row>
    <row r="23">
      <c r="A23" s="77" t="s">
        <v>8</v>
      </c>
      <c r="B23" s="77" t="s">
        <v>342</v>
      </c>
      <c r="C23" s="78">
        <v>46.0</v>
      </c>
      <c r="D23" s="80" t="b">
        <v>1</v>
      </c>
      <c r="E23" s="40">
        <v>1.623442326E9</v>
      </c>
      <c r="F23" s="66">
        <f>IFERROR(__xludf.DUMMYFUNCTION("INDEX(SPLIT(E23, char(10)), 0, 1)/86400+date(1970,1,1)"),44358.841736111106)</f>
        <v>44358.84174</v>
      </c>
      <c r="G23" s="86" t="s">
        <v>343</v>
      </c>
      <c r="H23" s="86" t="s">
        <v>344</v>
      </c>
      <c r="I23" s="40" t="s">
        <v>16</v>
      </c>
    </row>
    <row r="24">
      <c r="A24" s="5" t="s">
        <v>128</v>
      </c>
      <c r="B24" s="5" t="s">
        <v>345</v>
      </c>
      <c r="C24" s="78">
        <v>53.0</v>
      </c>
      <c r="D24" s="80" t="b">
        <v>1</v>
      </c>
      <c r="E24" s="40">
        <v>1.623442471E9</v>
      </c>
      <c r="F24" s="66">
        <f>IFERROR(__xludf.DUMMYFUNCTION("INDEX(SPLIT(E24, char(10)), 0, 1)/86400+date(1970,1,1)"),44358.84341435185)</f>
        <v>44358.84341</v>
      </c>
      <c r="G24" s="86" t="s">
        <v>346</v>
      </c>
      <c r="H24" s="86" t="s">
        <v>347</v>
      </c>
      <c r="I24" s="40" t="s">
        <v>15</v>
      </c>
    </row>
    <row r="25">
      <c r="A25" s="77" t="s">
        <v>8</v>
      </c>
      <c r="B25" s="74" t="s">
        <v>348</v>
      </c>
      <c r="C25" s="78">
        <v>64.0</v>
      </c>
      <c r="D25" s="80" t="b">
        <v>0</v>
      </c>
      <c r="E25" s="40">
        <v>1.623442585E9</v>
      </c>
      <c r="F25" s="66">
        <f>IFERROR(__xludf.DUMMYFUNCTION("INDEX(SPLIT(E25, char(10)), 0, 1)/86400+date(1970,1,1)"),44358.8447337963)</f>
        <v>44358.84473</v>
      </c>
      <c r="G25" s="86" t="s">
        <v>349</v>
      </c>
      <c r="H25" s="86" t="s">
        <v>350</v>
      </c>
      <c r="I25" s="40" t="s">
        <v>15</v>
      </c>
    </row>
    <row r="26">
      <c r="A26" s="77" t="s">
        <v>8</v>
      </c>
      <c r="B26" s="74" t="s">
        <v>351</v>
      </c>
      <c r="C26" s="78">
        <v>65.0</v>
      </c>
      <c r="D26" s="80" t="b">
        <v>0</v>
      </c>
      <c r="E26" s="40">
        <v>1.623442758E9</v>
      </c>
      <c r="F26" s="66">
        <f>IFERROR(__xludf.DUMMYFUNCTION("INDEX(SPLIT(E26, char(10)), 0, 1)/86400+date(1970,1,1)"),44358.84673611111)</f>
        <v>44358.84674</v>
      </c>
      <c r="G26" s="86" t="s">
        <v>352</v>
      </c>
      <c r="H26" s="86" t="s">
        <v>353</v>
      </c>
      <c r="I26" s="40" t="s">
        <v>15</v>
      </c>
    </row>
    <row r="27">
      <c r="A27" s="77" t="s">
        <v>128</v>
      </c>
      <c r="B27" s="74" t="s">
        <v>354</v>
      </c>
      <c r="C27" s="78">
        <v>66.0</v>
      </c>
      <c r="D27" s="80" t="b">
        <v>1</v>
      </c>
      <c r="E27" s="40">
        <v>1.623443036E9</v>
      </c>
      <c r="F27" s="66">
        <f>IFERROR(__xludf.DUMMYFUNCTION("INDEX(SPLIT(E27, char(10)), 0, 1)/86400+date(1970,1,1)"),44358.8499537037)</f>
        <v>44358.84995</v>
      </c>
      <c r="G27" s="86" t="s">
        <v>355</v>
      </c>
      <c r="H27" s="86" t="s">
        <v>356</v>
      </c>
      <c r="I27" s="40" t="s">
        <v>16</v>
      </c>
    </row>
    <row r="28">
      <c r="A28" s="77" t="s">
        <v>8</v>
      </c>
      <c r="B28" s="74" t="s">
        <v>357</v>
      </c>
      <c r="C28" s="78">
        <v>74.0</v>
      </c>
      <c r="D28" s="80" t="b">
        <v>0</v>
      </c>
      <c r="E28" s="40">
        <v>1.62344313E9</v>
      </c>
      <c r="F28" s="66">
        <f>IFERROR(__xludf.DUMMYFUNCTION("INDEX(SPLIT(E28, char(10)), 0, 1)/86400+date(1970,1,1)"),44358.85104166667)</f>
        <v>44358.85104</v>
      </c>
      <c r="G28" s="86" t="s">
        <v>358</v>
      </c>
      <c r="H28" s="86" t="s">
        <v>359</v>
      </c>
      <c r="I28" s="40" t="s">
        <v>15</v>
      </c>
    </row>
    <row r="29">
      <c r="A29" s="77" t="s">
        <v>8</v>
      </c>
      <c r="B29" s="74" t="s">
        <v>360</v>
      </c>
      <c r="C29" s="78">
        <v>76.0</v>
      </c>
      <c r="D29" s="80" t="b">
        <v>0</v>
      </c>
      <c r="E29" s="40">
        <v>1.623443248E9</v>
      </c>
      <c r="F29" s="66">
        <f>IFERROR(__xludf.DUMMYFUNCTION("INDEX(SPLIT(E29, char(10)), 0, 1)/86400+date(1970,1,1)"),44358.85240740741)</f>
        <v>44358.85241</v>
      </c>
      <c r="G29" s="86" t="s">
        <v>361</v>
      </c>
      <c r="H29" s="86" t="s">
        <v>362</v>
      </c>
      <c r="I29" s="40" t="s">
        <v>17</v>
      </c>
    </row>
    <row r="30">
      <c r="A30" s="77" t="s">
        <v>128</v>
      </c>
      <c r="B30" s="74" t="s">
        <v>363</v>
      </c>
      <c r="C30" s="78">
        <v>79.0</v>
      </c>
      <c r="D30" s="80" t="b">
        <v>1</v>
      </c>
      <c r="E30" s="40">
        <v>1.623443503E9</v>
      </c>
      <c r="F30" s="66">
        <f>IFERROR(__xludf.DUMMYFUNCTION("INDEX(SPLIT(E30, char(10)), 0, 1)/86400+date(1970,1,1)"),44358.855358796296)</f>
        <v>44358.85536</v>
      </c>
      <c r="G30" s="86" t="s">
        <v>364</v>
      </c>
      <c r="H30" s="86" t="s">
        <v>365</v>
      </c>
      <c r="I30" s="40" t="s">
        <v>17</v>
      </c>
    </row>
    <row r="31">
      <c r="A31" s="77" t="s">
        <v>8</v>
      </c>
      <c r="B31" s="74" t="s">
        <v>366</v>
      </c>
      <c r="C31" s="78">
        <v>81.0</v>
      </c>
      <c r="D31" s="80" t="b">
        <v>1</v>
      </c>
      <c r="E31" s="40">
        <v>1.623443654E9</v>
      </c>
      <c r="F31" s="66">
        <f>IFERROR(__xludf.DUMMYFUNCTION("INDEX(SPLIT(E31, char(10)), 0, 1)/86400+date(1970,1,1)"),44358.85710648148)</f>
        <v>44358.85711</v>
      </c>
      <c r="G31" s="86" t="s">
        <v>367</v>
      </c>
      <c r="H31" s="86" t="s">
        <v>368</v>
      </c>
      <c r="I31" s="40" t="s">
        <v>15</v>
      </c>
    </row>
    <row r="32">
      <c r="A32" s="77" t="s">
        <v>8</v>
      </c>
      <c r="B32" s="74" t="s">
        <v>369</v>
      </c>
      <c r="C32" s="78">
        <v>81.0</v>
      </c>
      <c r="D32" s="80" t="b">
        <v>1</v>
      </c>
      <c r="E32" s="40">
        <v>1.623443807E9</v>
      </c>
      <c r="F32" s="66">
        <f>IFERROR(__xludf.DUMMYFUNCTION("INDEX(SPLIT(E32, char(10)), 0, 1)/86400+date(1970,1,1)"),44358.858877314815)</f>
        <v>44358.85888</v>
      </c>
      <c r="G32" s="86" t="s">
        <v>370</v>
      </c>
      <c r="H32" s="86" t="s">
        <v>371</v>
      </c>
      <c r="I32" s="40" t="s">
        <v>16</v>
      </c>
    </row>
    <row r="33">
      <c r="A33" s="77" t="s">
        <v>8</v>
      </c>
      <c r="B33" s="74" t="s">
        <v>372</v>
      </c>
      <c r="C33" s="78">
        <v>85.0</v>
      </c>
      <c r="D33" s="80" t="b">
        <v>0</v>
      </c>
      <c r="E33" s="40">
        <v>1.623443897E9</v>
      </c>
      <c r="F33" s="66">
        <f>IFERROR(__xludf.DUMMYFUNCTION("INDEX(SPLIT(E33, char(10)), 0, 1)/86400+date(1970,1,1)"),44358.859918981485)</f>
        <v>44358.85992</v>
      </c>
      <c r="G33" s="86" t="s">
        <v>373</v>
      </c>
      <c r="H33" s="86" t="s">
        <v>374</v>
      </c>
      <c r="I33" s="40" t="s">
        <v>17</v>
      </c>
    </row>
    <row r="34">
      <c r="A34" s="77" t="s">
        <v>6</v>
      </c>
      <c r="B34" s="74" t="s">
        <v>375</v>
      </c>
      <c r="C34" s="78">
        <v>88.0</v>
      </c>
      <c r="D34" s="80" t="b">
        <v>1</v>
      </c>
      <c r="E34" s="40">
        <v>1.623443988E9</v>
      </c>
      <c r="F34" s="66">
        <f>IFERROR(__xludf.DUMMYFUNCTION("INDEX(SPLIT(E34, char(10)), 0, 1)/86400+date(1970,1,1)"),44358.86097222222)</f>
        <v>44358.86097</v>
      </c>
      <c r="G34" s="86" t="s">
        <v>376</v>
      </c>
      <c r="H34" s="86" t="s">
        <v>377</v>
      </c>
      <c r="I34" s="40" t="s">
        <v>75</v>
      </c>
    </row>
    <row r="35">
      <c r="A35" s="77" t="s">
        <v>6</v>
      </c>
      <c r="B35" s="74" t="s">
        <v>378</v>
      </c>
      <c r="C35" s="78">
        <v>90.0</v>
      </c>
      <c r="D35" s="80" t="b">
        <v>0</v>
      </c>
      <c r="E35" s="40">
        <v>1.623444098E9</v>
      </c>
      <c r="F35" s="66">
        <f>IFERROR(__xludf.DUMMYFUNCTION("INDEX(SPLIT(E35, char(10)), 0, 1)/86400+date(1970,1,1)"),44358.86224537037)</f>
        <v>44358.86225</v>
      </c>
      <c r="G35" s="86" t="s">
        <v>379</v>
      </c>
      <c r="H35" s="86" t="s">
        <v>380</v>
      </c>
      <c r="I35" s="40" t="s">
        <v>14</v>
      </c>
    </row>
    <row r="36">
      <c r="A36" s="77" t="s">
        <v>7</v>
      </c>
      <c r="B36" s="74" t="s">
        <v>181</v>
      </c>
      <c r="C36" s="78">
        <v>90.0</v>
      </c>
      <c r="D36" s="80" t="b">
        <v>1</v>
      </c>
      <c r="E36" s="40">
        <v>1.623444195E9</v>
      </c>
      <c r="F36" s="66">
        <f>IFERROR(__xludf.DUMMYFUNCTION("INDEX(SPLIT(E36, char(10)), 0, 1)/86400+date(1970,1,1)"),44358.86336805555)</f>
        <v>44358.86337</v>
      </c>
      <c r="G36" s="86" t="s">
        <v>381</v>
      </c>
      <c r="H36" s="86" t="s">
        <v>382</v>
      </c>
      <c r="I36" s="40" t="s">
        <v>14</v>
      </c>
    </row>
    <row r="37">
      <c r="A37" s="77"/>
      <c r="B37" s="74"/>
      <c r="C37" s="78"/>
      <c r="D37" s="79"/>
      <c r="E37" s="40">
        <v>1.62344434E9</v>
      </c>
      <c r="F37" s="66">
        <f>IFERROR(__xludf.DUMMYFUNCTION("INDEX(SPLIT(E37, char(10)), 0, 1)/86400+date(1970,1,1)"),44358.8650462963)</f>
        <v>44358.86505</v>
      </c>
      <c r="G37" s="86" t="s">
        <v>383</v>
      </c>
      <c r="H37" s="86" t="s">
        <v>384</v>
      </c>
      <c r="I37" s="40" t="s">
        <v>16</v>
      </c>
    </row>
    <row r="38">
      <c r="A38" s="77"/>
      <c r="B38" s="74"/>
      <c r="C38" s="78"/>
      <c r="D38" s="79"/>
      <c r="E38" s="40">
        <v>1.623444517E9</v>
      </c>
      <c r="F38" s="66">
        <f>IFERROR(__xludf.DUMMYFUNCTION("INDEX(SPLIT(E38, char(10)), 0, 1)/86400+date(1970,1,1)"),44358.86709490741)</f>
        <v>44358.86709</v>
      </c>
      <c r="G38" s="86" t="s">
        <v>385</v>
      </c>
      <c r="H38" s="86" t="s">
        <v>386</v>
      </c>
      <c r="I38" s="40" t="s">
        <v>75</v>
      </c>
    </row>
    <row r="39">
      <c r="A39" s="77"/>
      <c r="B39" s="74"/>
      <c r="C39" s="78"/>
      <c r="D39" s="79"/>
      <c r="E39" s="40">
        <v>1.623444619E9</v>
      </c>
      <c r="F39" s="66">
        <f>IFERROR(__xludf.DUMMYFUNCTION("INDEX(SPLIT(E39, char(10)), 0, 1)/86400+date(1970,1,1)"),44358.86827546296)</f>
        <v>44358.86828</v>
      </c>
      <c r="G39" s="86" t="s">
        <v>387</v>
      </c>
      <c r="H39" s="86" t="s">
        <v>388</v>
      </c>
      <c r="I39" s="40" t="s">
        <v>17</v>
      </c>
    </row>
    <row r="40">
      <c r="A40" s="77"/>
      <c r="B40" s="74"/>
      <c r="C40" s="78"/>
      <c r="D40" s="79"/>
      <c r="E40" s="40">
        <v>1.623444726E9</v>
      </c>
      <c r="F40" s="66">
        <f>IFERROR(__xludf.DUMMYFUNCTION("INDEX(SPLIT(E40, char(10)), 0, 1)/86400+date(1970,1,1)"),44358.86951388889)</f>
        <v>44358.86951</v>
      </c>
      <c r="G40" s="86" t="s">
        <v>389</v>
      </c>
      <c r="H40" s="86" t="s">
        <v>390</v>
      </c>
      <c r="I40" s="40" t="s">
        <v>16</v>
      </c>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40">
        <v>1.623438063E9</v>
      </c>
      <c r="F2" s="66">
        <f>IFERROR(__xludf.DUMMYFUNCTION("INDEX(SPLIT(E2, char(10)), 0, 1)/86400+date(1970,1,1)"),44358.792395833334)</f>
        <v>44358.7924</v>
      </c>
      <c r="G2" s="40" t="s">
        <v>391</v>
      </c>
      <c r="H2" s="86" t="s">
        <v>392</v>
      </c>
      <c r="I2" s="40" t="s">
        <v>17</v>
      </c>
      <c r="J2" s="40"/>
    </row>
    <row r="3">
      <c r="A3" s="40" t="s">
        <v>14</v>
      </c>
      <c r="B3" s="40" t="s">
        <v>99</v>
      </c>
      <c r="C3" s="40">
        <f t="shared" si="1"/>
        <v>0</v>
      </c>
      <c r="D3" s="64">
        <f t="shared" si="2"/>
        <v>0</v>
      </c>
      <c r="E3" s="40">
        <v>1.623439124E9</v>
      </c>
      <c r="F3" s="66">
        <f>IFERROR(__xludf.DUMMYFUNCTION("INDEX(SPLIT(E3, char(10)), 0, 1)/86400+date(1970,1,1)"),44358.80467592593)</f>
        <v>44358.80468</v>
      </c>
      <c r="G3" s="40" t="s">
        <v>393</v>
      </c>
      <c r="H3" s="86" t="s">
        <v>394</v>
      </c>
      <c r="I3" s="40" t="s">
        <v>17</v>
      </c>
      <c r="J3" s="40"/>
    </row>
    <row r="4">
      <c r="A4" s="40" t="s">
        <v>15</v>
      </c>
      <c r="B4" s="40" t="s">
        <v>102</v>
      </c>
      <c r="C4" s="40">
        <f t="shared" si="1"/>
        <v>4</v>
      </c>
      <c r="D4" s="64">
        <f t="shared" si="2"/>
        <v>0.1666666667</v>
      </c>
      <c r="E4" s="40">
        <v>1.623439324E9</v>
      </c>
      <c r="F4" s="66">
        <f>IFERROR(__xludf.DUMMYFUNCTION("INDEX(SPLIT(E4, char(10)), 0, 1)/86400+date(1970,1,1)"),44358.80699074074)</f>
        <v>44358.80699</v>
      </c>
      <c r="G4" s="40" t="s">
        <v>395</v>
      </c>
      <c r="H4" s="86" t="s">
        <v>396</v>
      </c>
      <c r="I4" s="40" t="s">
        <v>17</v>
      </c>
      <c r="J4" s="40"/>
    </row>
    <row r="5">
      <c r="A5" s="40" t="s">
        <v>16</v>
      </c>
      <c r="B5" s="40" t="s">
        <v>105</v>
      </c>
      <c r="C5" s="40">
        <f t="shared" si="1"/>
        <v>6</v>
      </c>
      <c r="D5" s="64">
        <f t="shared" si="2"/>
        <v>0.25</v>
      </c>
      <c r="E5" s="40">
        <v>1.623439448E9</v>
      </c>
      <c r="F5" s="66">
        <f>IFERROR(__xludf.DUMMYFUNCTION("INDEX(SPLIT(E5, char(10)), 0, 1)/86400+date(1970,1,1)"),44358.80842592593)</f>
        <v>44358.80843</v>
      </c>
      <c r="G5" s="40" t="s">
        <v>397</v>
      </c>
      <c r="H5" s="86" t="s">
        <v>398</v>
      </c>
      <c r="I5" s="40" t="s">
        <v>17</v>
      </c>
      <c r="J5" s="40"/>
    </row>
    <row r="6">
      <c r="A6" s="40" t="s">
        <v>17</v>
      </c>
      <c r="B6" s="40" t="s">
        <v>108</v>
      </c>
      <c r="C6" s="40">
        <f t="shared" si="1"/>
        <v>12</v>
      </c>
      <c r="D6" s="64">
        <f t="shared" si="2"/>
        <v>0.5</v>
      </c>
      <c r="E6" s="40">
        <v>1.623439691E9</v>
      </c>
      <c r="F6" s="66">
        <f>IFERROR(__xludf.DUMMYFUNCTION("INDEX(SPLIT(E6, char(10)), 0, 1)/86400+date(1970,1,1)"),44358.81123842593)</f>
        <v>44358.81124</v>
      </c>
      <c r="G6" s="40" t="s">
        <v>399</v>
      </c>
      <c r="H6" s="86" t="s">
        <v>400</v>
      </c>
      <c r="I6" s="40" t="s">
        <v>17</v>
      </c>
    </row>
    <row r="7">
      <c r="B7" s="40" t="s">
        <v>13</v>
      </c>
      <c r="C7" s="69">
        <f t="shared" ref="C7:D7" si="3">SUM(C2:C6)</f>
        <v>24</v>
      </c>
      <c r="D7" s="70">
        <f t="shared" si="3"/>
        <v>1</v>
      </c>
      <c r="E7" s="40">
        <v>1.623440661E9</v>
      </c>
      <c r="F7" s="66">
        <f>IFERROR(__xludf.DUMMYFUNCTION("INDEX(SPLIT(E7, char(10)), 0, 1)/86400+date(1970,1,1)"),44358.82246527778)</f>
        <v>44358.82247</v>
      </c>
      <c r="G7" s="40" t="s">
        <v>401</v>
      </c>
      <c r="H7" s="86" t="s">
        <v>402</v>
      </c>
      <c r="I7" s="40" t="s">
        <v>17</v>
      </c>
    </row>
    <row r="8">
      <c r="A8" s="71"/>
      <c r="B8" s="40" t="s">
        <v>18</v>
      </c>
      <c r="C8" s="57">
        <f t="shared" ref="C8:D8" si="4">SUM(C5:C6)</f>
        <v>18</v>
      </c>
      <c r="D8" s="14">
        <f t="shared" si="4"/>
        <v>0.75</v>
      </c>
      <c r="E8" s="40">
        <v>1.623440771E9</v>
      </c>
      <c r="F8" s="66">
        <f>IFERROR(__xludf.DUMMYFUNCTION("INDEX(SPLIT(E8, char(10)), 0, 1)/86400+date(1970,1,1)"),44358.82373842593)</f>
        <v>44358.82374</v>
      </c>
      <c r="G8" s="40" t="s">
        <v>403</v>
      </c>
      <c r="H8" s="86" t="s">
        <v>404</v>
      </c>
      <c r="I8" s="40" t="s">
        <v>15</v>
      </c>
    </row>
    <row r="9">
      <c r="A9" s="71"/>
      <c r="B9" s="40" t="s">
        <v>47</v>
      </c>
      <c r="C9" s="57">
        <f>SUM(C6:C7)</f>
        <v>36</v>
      </c>
      <c r="D9" s="14">
        <f>SUM(D5:D6) + D2</f>
        <v>0.8333333333</v>
      </c>
      <c r="E9" s="40">
        <v>1.623440921E9</v>
      </c>
      <c r="F9" s="66">
        <f>IFERROR(__xludf.DUMMYFUNCTION("INDEX(SPLIT(E9, char(10)), 0, 1)/86400+date(1970,1,1)"),44358.825474537036)</f>
        <v>44358.82547</v>
      </c>
      <c r="G9" s="40" t="s">
        <v>405</v>
      </c>
      <c r="H9" s="86" t="s">
        <v>406</v>
      </c>
      <c r="I9" s="40" t="s">
        <v>15</v>
      </c>
    </row>
    <row r="10">
      <c r="A10" s="71"/>
      <c r="B10" s="71"/>
      <c r="C10" s="71"/>
      <c r="D10" s="71"/>
      <c r="E10" s="40">
        <v>1.623441216E9</v>
      </c>
      <c r="F10" s="66">
        <f>IFERROR(__xludf.DUMMYFUNCTION("INDEX(SPLIT(E10, char(10)), 0, 1)/86400+date(1970,1,1)"),44358.82888888889)</f>
        <v>44358.82889</v>
      </c>
      <c r="G10" s="40" t="s">
        <v>327</v>
      </c>
      <c r="H10" s="86" t="s">
        <v>407</v>
      </c>
      <c r="I10" s="40" t="s">
        <v>16</v>
      </c>
    </row>
    <row r="11">
      <c r="A11" s="71"/>
      <c r="B11" s="71"/>
      <c r="C11" s="71"/>
      <c r="D11" s="71"/>
      <c r="E11" s="40">
        <v>1.623441345E9</v>
      </c>
      <c r="F11" s="66">
        <f>IFERROR(__xludf.DUMMYFUNCTION("INDEX(SPLIT(E11, char(10)), 0, 1)/86400+date(1970,1,1)"),44358.83038194444)</f>
        <v>44358.83038</v>
      </c>
      <c r="G11" s="40" t="s">
        <v>333</v>
      </c>
      <c r="H11" s="86" t="s">
        <v>334</v>
      </c>
      <c r="I11" s="40" t="s">
        <v>15</v>
      </c>
    </row>
    <row r="12">
      <c r="A12" s="72" t="s">
        <v>121</v>
      </c>
      <c r="B12" s="87" t="s">
        <v>408</v>
      </c>
      <c r="C12" s="88"/>
      <c r="D12" s="74"/>
      <c r="E12" s="40">
        <v>1.623441778E9</v>
      </c>
      <c r="F12" s="66">
        <f>IFERROR(__xludf.DUMMYFUNCTION("INDEX(SPLIT(E12, char(10)), 0, 1)/86400+date(1970,1,1)"),44358.835393518515)</f>
        <v>44358.83539</v>
      </c>
      <c r="G12" s="40" t="s">
        <v>409</v>
      </c>
      <c r="H12" s="86" t="s">
        <v>410</v>
      </c>
      <c r="I12" s="40" t="s">
        <v>16</v>
      </c>
    </row>
    <row r="13">
      <c r="A13" s="72" t="s">
        <v>125</v>
      </c>
      <c r="B13" s="74"/>
      <c r="C13" s="72" t="s">
        <v>89</v>
      </c>
      <c r="D13" s="72" t="s">
        <v>90</v>
      </c>
      <c r="E13" s="40">
        <v>1.623441893E9</v>
      </c>
      <c r="F13" s="66">
        <f>IFERROR(__xludf.DUMMYFUNCTION("INDEX(SPLIT(E13, char(10)), 0, 1)/86400+date(1970,1,1)"),44358.83672453703)</f>
        <v>44358.83672</v>
      </c>
      <c r="G13" s="40" t="s">
        <v>318</v>
      </c>
      <c r="H13" s="86" t="s">
        <v>411</v>
      </c>
      <c r="I13" s="40" t="s">
        <v>17</v>
      </c>
    </row>
    <row r="14">
      <c r="A14" s="5" t="s">
        <v>128</v>
      </c>
      <c r="B14" s="5" t="s">
        <v>129</v>
      </c>
      <c r="C14" s="75">
        <f t="shared" ref="C14:C17" si="5">COUNTIF($A$19:$A1000, A14)</f>
        <v>3</v>
      </c>
      <c r="D14" s="76">
        <f>IFERROR(__xludf.DUMMYFUNCTION("IF(C14, COUNTIF(FILTER($D$19:$D1000, $A$19:$A1000=A14), TRUE)/C14, 0)"),1.0)</f>
        <v>1</v>
      </c>
      <c r="E14" s="40">
        <v>1.62344222E9</v>
      </c>
      <c r="F14" s="66">
        <f>IFERROR(__xludf.DUMMYFUNCTION("INDEX(SPLIT(E14, char(10)), 0, 1)/86400+date(1970,1,1)"),44358.84050925926)</f>
        <v>44358.84051</v>
      </c>
      <c r="G14" s="40" t="s">
        <v>412</v>
      </c>
      <c r="H14" s="86" t="s">
        <v>413</v>
      </c>
      <c r="I14" s="40" t="s">
        <v>16</v>
      </c>
    </row>
    <row r="15">
      <c r="A15" s="5" t="s">
        <v>6</v>
      </c>
      <c r="B15" s="5" t="s">
        <v>132</v>
      </c>
      <c r="C15" s="75">
        <f t="shared" si="5"/>
        <v>2</v>
      </c>
      <c r="D15" s="76">
        <f>IFERROR(__xludf.DUMMYFUNCTION("IF(C15, COUNTIF(FILTER($D$19:$D1000, $A$19:$A1000=A15), TRUE)/C15, 0)"),0.5)</f>
        <v>0.5</v>
      </c>
      <c r="E15" s="40">
        <v>1.623442328E9</v>
      </c>
      <c r="F15" s="66">
        <f>IFERROR(__xludf.DUMMYFUNCTION("INDEX(SPLIT(E15, char(10)), 0, 1)/86400+date(1970,1,1)"),44358.84175925926)</f>
        <v>44358.84176</v>
      </c>
      <c r="G15" s="40" t="s">
        <v>414</v>
      </c>
      <c r="H15" s="86" t="s">
        <v>415</v>
      </c>
      <c r="I15" s="40" t="s">
        <v>17</v>
      </c>
    </row>
    <row r="16">
      <c r="A16" s="5" t="s">
        <v>7</v>
      </c>
      <c r="B16" s="5" t="s">
        <v>135</v>
      </c>
      <c r="C16" s="75">
        <f t="shared" si="5"/>
        <v>4</v>
      </c>
      <c r="D16" s="76">
        <f>IFERROR(__xludf.DUMMYFUNCTION("IF(C16, COUNTIF(FILTER($D$19:$D1000, $A$19:$A1000=A16), TRUE)/C16, 0)"),0.5)</f>
        <v>0.5</v>
      </c>
      <c r="E16" s="40">
        <v>1.623443031E9</v>
      </c>
      <c r="F16" s="66">
        <f>IFERROR(__xludf.DUMMYFUNCTION("INDEX(SPLIT(E16, char(10)), 0, 1)/86400+date(1970,1,1)"),44358.84989583334)</f>
        <v>44358.8499</v>
      </c>
      <c r="G16" s="40" t="s">
        <v>416</v>
      </c>
      <c r="H16" s="86" t="s">
        <v>417</v>
      </c>
      <c r="I16" s="40" t="s">
        <v>15</v>
      </c>
    </row>
    <row r="17">
      <c r="A17" s="5" t="s">
        <v>8</v>
      </c>
      <c r="B17" s="5" t="s">
        <v>79</v>
      </c>
      <c r="C17" s="75">
        <f t="shared" si="5"/>
        <v>9</v>
      </c>
      <c r="D17" s="76">
        <f>IFERROR(__xludf.DUMMYFUNCTION("IF(C17, COUNTIF(FILTER($D$19:$D1000, $A$19:$A1000=A17), TRUE)/C17, 0)"),0.2222222222222222)</f>
        <v>0.2222222222</v>
      </c>
      <c r="E17" s="40">
        <v>1.623443131E9</v>
      </c>
      <c r="F17" s="66">
        <f>IFERROR(__xludf.DUMMYFUNCTION("INDEX(SPLIT(E17, char(10)), 0, 1)/86400+date(1970,1,1)"),44358.85105324074)</f>
        <v>44358.85105</v>
      </c>
      <c r="G17" s="40" t="s">
        <v>418</v>
      </c>
      <c r="H17" s="86" t="s">
        <v>419</v>
      </c>
      <c r="I17" s="40" t="s">
        <v>16</v>
      </c>
    </row>
    <row r="18">
      <c r="A18" s="74"/>
      <c r="B18" s="72" t="s">
        <v>9</v>
      </c>
      <c r="C18" s="75">
        <f>SUM(C14:C17)</f>
        <v>18</v>
      </c>
      <c r="D18" s="76">
        <f>COUNTIF($D$19:$D1000, TRUE)/SUM($C$14:$C$17)</f>
        <v>0.4444444444</v>
      </c>
      <c r="E18" s="40">
        <v>1.62344328E9</v>
      </c>
      <c r="F18" s="66">
        <f>IFERROR(__xludf.DUMMYFUNCTION("INDEX(SPLIT(E18, char(10)), 0, 1)/86400+date(1970,1,1)"),44358.85277777778)</f>
        <v>44358.85278</v>
      </c>
      <c r="G18" s="40" t="s">
        <v>420</v>
      </c>
      <c r="H18" s="86" t="s">
        <v>421</v>
      </c>
      <c r="I18" s="40" t="s">
        <v>17</v>
      </c>
    </row>
    <row r="19">
      <c r="A19" s="77" t="s">
        <v>7</v>
      </c>
      <c r="B19" s="77" t="s">
        <v>147</v>
      </c>
      <c r="C19" s="78">
        <v>1.0</v>
      </c>
      <c r="D19" s="80" t="b">
        <v>0</v>
      </c>
      <c r="E19" s="40">
        <v>1.623443503E9</v>
      </c>
      <c r="F19" s="66">
        <f>IFERROR(__xludf.DUMMYFUNCTION("INDEX(SPLIT(E19, char(10)), 0, 1)/86400+date(1970,1,1)"),44358.855358796296)</f>
        <v>44358.85536</v>
      </c>
      <c r="G19" s="40" t="s">
        <v>422</v>
      </c>
      <c r="H19" s="86" t="s">
        <v>423</v>
      </c>
      <c r="I19" s="40" t="s">
        <v>17</v>
      </c>
    </row>
    <row r="20">
      <c r="A20" s="77" t="s">
        <v>7</v>
      </c>
      <c r="B20" s="77" t="s">
        <v>153</v>
      </c>
      <c r="C20" s="78">
        <v>45.0</v>
      </c>
      <c r="D20" s="80" t="b">
        <v>0</v>
      </c>
      <c r="E20" s="40">
        <v>1.623443654E9</v>
      </c>
      <c r="F20" s="66">
        <f>IFERROR(__xludf.DUMMYFUNCTION("INDEX(SPLIT(E20, char(10)), 0, 1)/86400+date(1970,1,1)"),44358.85710648148)</f>
        <v>44358.85711</v>
      </c>
      <c r="G20" s="40" t="s">
        <v>424</v>
      </c>
      <c r="H20" s="86" t="s">
        <v>425</v>
      </c>
      <c r="I20" s="40" t="s">
        <v>75</v>
      </c>
    </row>
    <row r="21">
      <c r="A21" s="77" t="s">
        <v>7</v>
      </c>
      <c r="B21" s="77" t="s">
        <v>156</v>
      </c>
      <c r="C21" s="78">
        <v>45.0</v>
      </c>
      <c r="D21" s="80" t="b">
        <v>1</v>
      </c>
      <c r="E21" s="40">
        <v>1.623443803E9</v>
      </c>
      <c r="F21" s="66">
        <f>IFERROR(__xludf.DUMMYFUNCTION("INDEX(SPLIT(E21, char(10)), 0, 1)/86400+date(1970,1,1)"),44358.858831018515)</f>
        <v>44358.85883</v>
      </c>
      <c r="G21" s="40" t="s">
        <v>426</v>
      </c>
      <c r="H21" s="86" t="s">
        <v>427</v>
      </c>
      <c r="I21" s="40" t="s">
        <v>16</v>
      </c>
    </row>
    <row r="22">
      <c r="A22" s="77" t="s">
        <v>8</v>
      </c>
      <c r="B22" s="77" t="s">
        <v>339</v>
      </c>
      <c r="C22" s="78">
        <v>46.0</v>
      </c>
      <c r="D22" s="80" t="b">
        <v>1</v>
      </c>
      <c r="E22" s="40">
        <v>1.623443922E9</v>
      </c>
      <c r="F22" s="66">
        <f>IFERROR(__xludf.DUMMYFUNCTION("INDEX(SPLIT(E22, char(10)), 0, 1)/86400+date(1970,1,1)"),44358.86020833333)</f>
        <v>44358.86021</v>
      </c>
      <c r="G22" s="40" t="s">
        <v>428</v>
      </c>
      <c r="H22" s="86" t="s">
        <v>429</v>
      </c>
      <c r="I22" s="40" t="s">
        <v>17</v>
      </c>
    </row>
    <row r="23">
      <c r="A23" s="77" t="s">
        <v>8</v>
      </c>
      <c r="B23" s="77" t="s">
        <v>342</v>
      </c>
      <c r="C23" s="78">
        <v>46.0</v>
      </c>
      <c r="D23" s="80" t="b">
        <v>1</v>
      </c>
      <c r="E23" s="40">
        <v>1.623444347E9</v>
      </c>
      <c r="F23" s="66">
        <f>IFERROR(__xludf.DUMMYFUNCTION("INDEX(SPLIT(E23, char(10)), 0, 1)/86400+date(1970,1,1)"),44358.86512731481)</f>
        <v>44358.86513</v>
      </c>
      <c r="G23" s="40" t="s">
        <v>430</v>
      </c>
      <c r="H23" s="86" t="s">
        <v>431</v>
      </c>
      <c r="I23" s="40" t="s">
        <v>16</v>
      </c>
    </row>
    <row r="24">
      <c r="A24" s="5" t="s">
        <v>128</v>
      </c>
      <c r="B24" s="5" t="s">
        <v>345</v>
      </c>
      <c r="C24" s="78">
        <v>53.0</v>
      </c>
      <c r="D24" s="80" t="b">
        <v>1</v>
      </c>
      <c r="E24" s="40">
        <v>1.623444517E9</v>
      </c>
      <c r="F24" s="66">
        <f>IFERROR(__xludf.DUMMYFUNCTION("INDEX(SPLIT(E24, char(10)), 0, 1)/86400+date(1970,1,1)"),44358.86709490741)</f>
        <v>44358.86709</v>
      </c>
      <c r="G24" s="40" t="s">
        <v>432</v>
      </c>
      <c r="H24" s="86" t="s">
        <v>433</v>
      </c>
      <c r="I24" s="40" t="s">
        <v>75</v>
      </c>
    </row>
    <row r="25">
      <c r="A25" s="77" t="s">
        <v>8</v>
      </c>
      <c r="B25" s="74" t="s">
        <v>348</v>
      </c>
      <c r="C25" s="78">
        <v>64.0</v>
      </c>
      <c r="D25" s="80" t="b">
        <v>0</v>
      </c>
      <c r="E25" s="40">
        <v>1.623444622E9</v>
      </c>
      <c r="F25" s="66">
        <f>IFERROR(__xludf.DUMMYFUNCTION("INDEX(SPLIT(E25, char(10)), 0, 1)/86400+date(1970,1,1)"),44358.868310185186)</f>
        <v>44358.86831</v>
      </c>
      <c r="G25" s="40" t="s">
        <v>434</v>
      </c>
      <c r="H25" s="86" t="s">
        <v>435</v>
      </c>
      <c r="I25" s="40" t="s">
        <v>17</v>
      </c>
    </row>
    <row r="26">
      <c r="A26" s="77" t="s">
        <v>8</v>
      </c>
      <c r="B26" s="74" t="s">
        <v>351</v>
      </c>
      <c r="C26" s="78">
        <v>65.0</v>
      </c>
      <c r="D26" s="80" t="b">
        <v>0</v>
      </c>
      <c r="F26" s="66"/>
      <c r="G26" s="86"/>
      <c r="H26" s="86"/>
      <c r="I26" s="41"/>
    </row>
    <row r="27">
      <c r="A27" s="77" t="s">
        <v>128</v>
      </c>
      <c r="B27" s="74" t="s">
        <v>354</v>
      </c>
      <c r="C27" s="78">
        <v>66.0</v>
      </c>
      <c r="D27" s="80" t="b">
        <v>1</v>
      </c>
      <c r="F27" s="66"/>
      <c r="G27" s="86"/>
      <c r="H27" s="86"/>
      <c r="I27" s="41"/>
    </row>
    <row r="28">
      <c r="A28" s="77" t="s">
        <v>8</v>
      </c>
      <c r="B28" s="74" t="s">
        <v>357</v>
      </c>
      <c r="C28" s="78">
        <v>74.0</v>
      </c>
      <c r="D28" s="80" t="b">
        <v>0</v>
      </c>
      <c r="F28" s="66"/>
      <c r="G28" s="86"/>
      <c r="H28" s="86"/>
      <c r="I28" s="41"/>
    </row>
    <row r="29">
      <c r="A29" s="77" t="s">
        <v>8</v>
      </c>
      <c r="B29" s="74" t="s">
        <v>360</v>
      </c>
      <c r="C29" s="78">
        <v>76.0</v>
      </c>
      <c r="D29" s="80" t="b">
        <v>0</v>
      </c>
      <c r="F29" s="66"/>
      <c r="G29" s="86"/>
      <c r="H29" s="86"/>
      <c r="I29" s="41"/>
    </row>
    <row r="30">
      <c r="A30" s="77" t="s">
        <v>128</v>
      </c>
      <c r="B30" s="74" t="s">
        <v>363</v>
      </c>
      <c r="C30" s="78">
        <v>79.0</v>
      </c>
      <c r="D30" s="80" t="b">
        <v>1</v>
      </c>
      <c r="F30" s="66"/>
      <c r="G30" s="86"/>
      <c r="H30" s="86"/>
      <c r="I30" s="41"/>
    </row>
    <row r="31">
      <c r="A31" s="77" t="s">
        <v>8</v>
      </c>
      <c r="B31" s="74" t="s">
        <v>366</v>
      </c>
      <c r="C31" s="78">
        <v>81.0</v>
      </c>
      <c r="D31" s="80" t="b">
        <v>0</v>
      </c>
      <c r="F31" s="66"/>
      <c r="G31" s="86"/>
      <c r="H31" s="86"/>
      <c r="I31" s="41"/>
    </row>
    <row r="32">
      <c r="A32" s="77" t="s">
        <v>8</v>
      </c>
      <c r="B32" s="74" t="s">
        <v>369</v>
      </c>
      <c r="C32" s="78">
        <v>81.0</v>
      </c>
      <c r="D32" s="80" t="b">
        <v>0</v>
      </c>
      <c r="F32" s="66"/>
      <c r="G32" s="86"/>
      <c r="H32" s="86"/>
      <c r="I32" s="41"/>
    </row>
    <row r="33">
      <c r="A33" s="77" t="s">
        <v>8</v>
      </c>
      <c r="B33" s="74" t="s">
        <v>372</v>
      </c>
      <c r="C33" s="78">
        <v>85.0</v>
      </c>
      <c r="D33" s="80" t="b">
        <v>0</v>
      </c>
      <c r="F33" s="66"/>
      <c r="G33" s="86"/>
      <c r="H33" s="86"/>
      <c r="I33" s="41"/>
    </row>
    <row r="34">
      <c r="A34" s="77" t="s">
        <v>6</v>
      </c>
      <c r="B34" s="74" t="s">
        <v>375</v>
      </c>
      <c r="C34" s="78">
        <v>88.0</v>
      </c>
      <c r="D34" s="80" t="b">
        <v>1</v>
      </c>
      <c r="F34" s="66"/>
      <c r="G34" s="86"/>
      <c r="H34" s="86"/>
      <c r="I34" s="41"/>
    </row>
    <row r="35">
      <c r="A35" s="77" t="s">
        <v>6</v>
      </c>
      <c r="B35" s="74" t="s">
        <v>378</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F37" s="66"/>
      <c r="G37" s="86"/>
      <c r="H37" s="86"/>
      <c r="I37" s="41"/>
    </row>
    <row r="38">
      <c r="A38" s="77"/>
      <c r="B38" s="74"/>
      <c r="C38" s="78"/>
      <c r="D38" s="79"/>
      <c r="F38" s="66"/>
      <c r="G38" s="86"/>
      <c r="H38" s="86"/>
      <c r="I38" s="41"/>
    </row>
    <row r="39">
      <c r="A39" s="77"/>
      <c r="B39" s="74"/>
      <c r="C39" s="78"/>
      <c r="D39" s="79"/>
      <c r="F39" s="66"/>
      <c r="G39" s="86"/>
      <c r="H39" s="86"/>
      <c r="I39" s="41"/>
    </row>
    <row r="40">
      <c r="A40" s="77"/>
      <c r="B40" s="74"/>
      <c r="C40" s="78"/>
      <c r="D40" s="79"/>
      <c r="F40" s="66"/>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40">
        <v>1.623438057E9</v>
      </c>
      <c r="F2" s="66">
        <f>IFERROR(__xludf.DUMMYFUNCTION("INDEX(SPLIT(E2, char(10)), 0, 1)/86400+date(1970,1,1)"),44358.79232638889)</f>
        <v>44358.79233</v>
      </c>
      <c r="G2" s="86" t="s">
        <v>436</v>
      </c>
      <c r="H2" s="86" t="s">
        <v>437</v>
      </c>
      <c r="I2" s="40" t="s">
        <v>17</v>
      </c>
      <c r="J2" s="40"/>
    </row>
    <row r="3">
      <c r="A3" s="40" t="s">
        <v>14</v>
      </c>
      <c r="B3" s="40" t="s">
        <v>99</v>
      </c>
      <c r="C3" s="40">
        <f t="shared" si="1"/>
        <v>3</v>
      </c>
      <c r="D3" s="64">
        <f t="shared" si="2"/>
        <v>0.08333333333</v>
      </c>
      <c r="E3" s="40">
        <v>1.623438166E9</v>
      </c>
      <c r="F3" s="66">
        <f>IFERROR(__xludf.DUMMYFUNCTION("INDEX(SPLIT(E3, char(10)), 0, 1)/86400+date(1970,1,1)"),44358.793587962966)</f>
        <v>44358.79359</v>
      </c>
      <c r="G3" s="86" t="s">
        <v>438</v>
      </c>
      <c r="H3" s="86" t="s">
        <v>439</v>
      </c>
      <c r="I3" s="40" t="s">
        <v>15</v>
      </c>
      <c r="J3" s="40"/>
    </row>
    <row r="4">
      <c r="A4" s="40" t="s">
        <v>15</v>
      </c>
      <c r="B4" s="40" t="s">
        <v>102</v>
      </c>
      <c r="C4" s="40">
        <f t="shared" si="1"/>
        <v>9</v>
      </c>
      <c r="D4" s="64">
        <f t="shared" si="2"/>
        <v>0.25</v>
      </c>
      <c r="E4" s="40">
        <v>1.623438752E9</v>
      </c>
      <c r="F4" s="66">
        <f>IFERROR(__xludf.DUMMYFUNCTION("INDEX(SPLIT(E4, char(10)), 0, 1)/86400+date(1970,1,1)"),44358.80037037037)</f>
        <v>44358.80037</v>
      </c>
      <c r="G4" s="86" t="s">
        <v>440</v>
      </c>
      <c r="H4" s="86" t="s">
        <v>441</v>
      </c>
      <c r="I4" s="40" t="s">
        <v>14</v>
      </c>
      <c r="J4" s="40"/>
    </row>
    <row r="5">
      <c r="A5" s="40" t="s">
        <v>16</v>
      </c>
      <c r="B5" s="40" t="s">
        <v>105</v>
      </c>
      <c r="C5" s="40">
        <f t="shared" si="1"/>
        <v>7</v>
      </c>
      <c r="D5" s="64">
        <f t="shared" si="2"/>
        <v>0.1944444444</v>
      </c>
      <c r="E5" s="40">
        <v>1.623439087E9</v>
      </c>
      <c r="F5" s="66">
        <f>IFERROR(__xludf.DUMMYFUNCTION("INDEX(SPLIT(E5, char(10)), 0, 1)/86400+date(1970,1,1)"),44358.804247685184)</f>
        <v>44358.80425</v>
      </c>
      <c r="G5" s="86" t="s">
        <v>442</v>
      </c>
      <c r="H5" s="86" t="s">
        <v>443</v>
      </c>
      <c r="I5" s="40" t="s">
        <v>17</v>
      </c>
      <c r="J5" s="40"/>
    </row>
    <row r="6">
      <c r="A6" s="40" t="s">
        <v>17</v>
      </c>
      <c r="B6" s="40" t="s">
        <v>108</v>
      </c>
      <c r="C6" s="40">
        <f t="shared" si="1"/>
        <v>17</v>
      </c>
      <c r="D6" s="64">
        <f t="shared" si="2"/>
        <v>0.4722222222</v>
      </c>
      <c r="E6" s="40">
        <v>1.623439352E9</v>
      </c>
      <c r="F6" s="66">
        <f>IFERROR(__xludf.DUMMYFUNCTION("INDEX(SPLIT(E6, char(10)), 0, 1)/86400+date(1970,1,1)"),44358.80731481481)</f>
        <v>44358.80731</v>
      </c>
      <c r="G6" s="86" t="s">
        <v>444</v>
      </c>
      <c r="H6" s="86" t="s">
        <v>445</v>
      </c>
      <c r="I6" s="40" t="s">
        <v>17</v>
      </c>
    </row>
    <row r="7">
      <c r="B7" s="40" t="s">
        <v>13</v>
      </c>
      <c r="C7" s="69">
        <f t="shared" ref="C7:D7" si="3">SUM(C2:C6)</f>
        <v>36</v>
      </c>
      <c r="D7" s="70">
        <f t="shared" si="3"/>
        <v>1</v>
      </c>
      <c r="E7" s="40">
        <v>1.623439723E9</v>
      </c>
      <c r="F7" s="66">
        <f>IFERROR(__xludf.DUMMYFUNCTION("INDEX(SPLIT(E7, char(10)), 0, 1)/86400+date(1970,1,1)"),44358.8116087963)</f>
        <v>44358.81161</v>
      </c>
      <c r="G7" s="86" t="s">
        <v>399</v>
      </c>
      <c r="H7" s="86" t="s">
        <v>400</v>
      </c>
      <c r="I7" s="40" t="s">
        <v>17</v>
      </c>
    </row>
    <row r="8">
      <c r="A8" s="71"/>
      <c r="B8" s="40" t="s">
        <v>18</v>
      </c>
      <c r="C8" s="57">
        <f t="shared" ref="C8:D8" si="4">SUM(C5:C6)</f>
        <v>24</v>
      </c>
      <c r="D8" s="14">
        <f t="shared" si="4"/>
        <v>0.6666666667</v>
      </c>
      <c r="E8" s="40">
        <v>1.623439875E9</v>
      </c>
      <c r="F8" s="66">
        <f>IFERROR(__xludf.DUMMYFUNCTION("INDEX(SPLIT(E8, char(10)), 0, 1)/86400+date(1970,1,1)"),44358.813368055555)</f>
        <v>44358.81337</v>
      </c>
      <c r="G8" s="86" t="s">
        <v>446</v>
      </c>
      <c r="H8" s="86" t="s">
        <v>447</v>
      </c>
      <c r="I8" s="40" t="s">
        <v>17</v>
      </c>
    </row>
    <row r="9">
      <c r="A9" s="71"/>
      <c r="B9" s="40" t="s">
        <v>47</v>
      </c>
      <c r="C9" s="57">
        <f>SUM(C6:C7)</f>
        <v>53</v>
      </c>
      <c r="D9" s="14">
        <f>SUM(D5:D6) + D2</f>
        <v>0.6666666667</v>
      </c>
      <c r="E9" s="40">
        <v>1.623439992E9</v>
      </c>
      <c r="F9" s="66">
        <f>IFERROR(__xludf.DUMMYFUNCTION("INDEX(SPLIT(E9, char(10)), 0, 1)/86400+date(1970,1,1)"),44358.81472222222)</f>
        <v>44358.81472</v>
      </c>
      <c r="G9" s="86" t="s">
        <v>448</v>
      </c>
      <c r="H9" s="86" t="s">
        <v>449</v>
      </c>
      <c r="I9" s="40" t="s">
        <v>14</v>
      </c>
    </row>
    <row r="10">
      <c r="A10" s="71"/>
      <c r="B10" s="71"/>
      <c r="C10" s="71"/>
      <c r="D10" s="71"/>
      <c r="E10" s="40">
        <v>1.623440207E9</v>
      </c>
      <c r="F10" s="66">
        <f>IFERROR(__xludf.DUMMYFUNCTION("INDEX(SPLIT(E10, char(10)), 0, 1)/86400+date(1970,1,1)"),44358.81721064815)</f>
        <v>44358.81721</v>
      </c>
      <c r="G10" s="86" t="s">
        <v>450</v>
      </c>
      <c r="H10" s="86" t="s">
        <v>451</v>
      </c>
      <c r="I10" s="40" t="s">
        <v>17</v>
      </c>
    </row>
    <row r="11">
      <c r="A11" s="71"/>
      <c r="B11" s="71"/>
      <c r="C11" s="71"/>
      <c r="D11" s="71"/>
      <c r="E11" s="40">
        <v>1.623440639E9</v>
      </c>
      <c r="F11" s="66">
        <f>IFERROR(__xludf.DUMMYFUNCTION("INDEX(SPLIT(E11, char(10)), 0, 1)/86400+date(1970,1,1)"),44358.82221064815)</f>
        <v>44358.82221</v>
      </c>
      <c r="G11" s="86" t="s">
        <v>452</v>
      </c>
      <c r="H11" s="86" t="s">
        <v>453</v>
      </c>
      <c r="I11" s="40" t="s">
        <v>17</v>
      </c>
    </row>
    <row r="12">
      <c r="A12" s="72" t="s">
        <v>121</v>
      </c>
      <c r="B12" s="87" t="s">
        <v>454</v>
      </c>
      <c r="C12" s="88"/>
      <c r="D12" s="74"/>
      <c r="E12" s="40">
        <v>1.623440745E9</v>
      </c>
      <c r="F12" s="66">
        <f>IFERROR(__xludf.DUMMYFUNCTION("INDEX(SPLIT(E12, char(10)), 0, 1)/86400+date(1970,1,1)"),44358.8234375)</f>
        <v>44358.82344</v>
      </c>
      <c r="G12" s="86" t="s">
        <v>455</v>
      </c>
      <c r="H12" s="86" t="s">
        <v>456</v>
      </c>
      <c r="I12" s="40" t="s">
        <v>15</v>
      </c>
    </row>
    <row r="13">
      <c r="A13" s="72" t="s">
        <v>125</v>
      </c>
      <c r="B13" s="74"/>
      <c r="C13" s="72" t="s">
        <v>89</v>
      </c>
      <c r="D13" s="72" t="s">
        <v>90</v>
      </c>
      <c r="E13" s="40">
        <v>1.623440837E9</v>
      </c>
      <c r="F13" s="66">
        <f>IFERROR(__xludf.DUMMYFUNCTION("INDEX(SPLIT(E13, char(10)), 0, 1)/86400+date(1970,1,1)"),44358.82450231482)</f>
        <v>44358.8245</v>
      </c>
      <c r="G13" s="86" t="s">
        <v>457</v>
      </c>
      <c r="H13" s="86" t="s">
        <v>458</v>
      </c>
      <c r="I13" s="40" t="s">
        <v>15</v>
      </c>
    </row>
    <row r="14">
      <c r="A14" s="5" t="s">
        <v>128</v>
      </c>
      <c r="B14" s="5" t="s">
        <v>129</v>
      </c>
      <c r="C14" s="75">
        <f t="shared" ref="C14:C17" si="5">COUNTIF($A$19:$A1000, A14)</f>
        <v>3</v>
      </c>
      <c r="D14" s="76">
        <f>IFERROR(__xludf.DUMMYFUNCTION("IF(C14, COUNTIF(FILTER($D$19:$D1000, $A$19:$A1000=A14), TRUE)/C14, 0)"),1.0)</f>
        <v>1</v>
      </c>
      <c r="E14" s="40">
        <v>1.623440988E9</v>
      </c>
      <c r="F14" s="66">
        <f>IFERROR(__xludf.DUMMYFUNCTION("INDEX(SPLIT(E14, char(10)), 0, 1)/86400+date(1970,1,1)"),44358.82625)</f>
        <v>44358.82625</v>
      </c>
      <c r="G14" s="86" t="s">
        <v>459</v>
      </c>
      <c r="H14" s="86" t="s">
        <v>460</v>
      </c>
      <c r="I14" s="40" t="s">
        <v>15</v>
      </c>
    </row>
    <row r="15">
      <c r="A15" s="5" t="s">
        <v>6</v>
      </c>
      <c r="B15" s="5" t="s">
        <v>132</v>
      </c>
      <c r="C15" s="75">
        <f t="shared" si="5"/>
        <v>2</v>
      </c>
      <c r="D15" s="76">
        <f>IFERROR(__xludf.DUMMYFUNCTION("IF(C15, COUNTIF(FILTER($D$19:$D1000, $A$19:$A1000=A15), TRUE)/C15, 0)"),0.0)</f>
        <v>0</v>
      </c>
      <c r="E15" s="40">
        <v>1.623441669E9</v>
      </c>
      <c r="F15" s="66">
        <f>IFERROR(__xludf.DUMMYFUNCTION("INDEX(SPLIT(E15, char(10)), 0, 1)/86400+date(1970,1,1)"),44358.834131944444)</f>
        <v>44358.83413</v>
      </c>
      <c r="G15" s="86" t="s">
        <v>461</v>
      </c>
      <c r="H15" s="86" t="s">
        <v>462</v>
      </c>
      <c r="I15" s="40" t="s">
        <v>15</v>
      </c>
    </row>
    <row r="16">
      <c r="A16" s="5" t="s">
        <v>7</v>
      </c>
      <c r="B16" s="5" t="s">
        <v>135</v>
      </c>
      <c r="C16" s="75">
        <f t="shared" si="5"/>
        <v>4</v>
      </c>
      <c r="D16" s="76">
        <f>IFERROR(__xludf.DUMMYFUNCTION("IF(C16, COUNTIF(FILTER($D$19:$D1000, $A$19:$A1000=A16), TRUE)/C16, 0)"),0.25)</f>
        <v>0.25</v>
      </c>
      <c r="E16" s="40">
        <v>1.623441783E9</v>
      </c>
      <c r="F16" s="66">
        <f>IFERROR(__xludf.DUMMYFUNCTION("INDEX(SPLIT(E16, char(10)), 0, 1)/86400+date(1970,1,1)"),44358.83545138889)</f>
        <v>44358.83545</v>
      </c>
      <c r="G16" s="86" t="s">
        <v>463</v>
      </c>
      <c r="H16" s="86" t="s">
        <v>464</v>
      </c>
      <c r="I16" s="40" t="s">
        <v>16</v>
      </c>
    </row>
    <row r="17">
      <c r="A17" s="5" t="s">
        <v>8</v>
      </c>
      <c r="B17" s="5" t="s">
        <v>79</v>
      </c>
      <c r="C17" s="75">
        <f t="shared" si="5"/>
        <v>9</v>
      </c>
      <c r="D17" s="76">
        <f>IFERROR(__xludf.DUMMYFUNCTION("IF(C17, COUNTIF(FILTER($D$19:$D1000, $A$19:$A1000=A17), TRUE)/C17, 0)"),0.5555555555555556)</f>
        <v>0.5555555556</v>
      </c>
      <c r="E17" s="40">
        <v>1.623441902E9</v>
      </c>
      <c r="F17" s="66">
        <f>IFERROR(__xludf.DUMMYFUNCTION("INDEX(SPLIT(E17, char(10)), 0, 1)/86400+date(1970,1,1)"),44358.8368287037)</f>
        <v>44358.83683</v>
      </c>
      <c r="G17" s="86" t="s">
        <v>465</v>
      </c>
      <c r="H17" s="86" t="s">
        <v>466</v>
      </c>
      <c r="I17" s="40" t="s">
        <v>17</v>
      </c>
    </row>
    <row r="18">
      <c r="A18" s="74"/>
      <c r="B18" s="72" t="s">
        <v>9</v>
      </c>
      <c r="C18" s="75">
        <f>SUM(C14:C17)</f>
        <v>18</v>
      </c>
      <c r="D18" s="76">
        <f>COUNTIF($D$19:$D1000, TRUE)/SUM($C$14:$C$17)</f>
        <v>0.5</v>
      </c>
      <c r="E18" s="40">
        <v>1.623442211E9</v>
      </c>
      <c r="F18" s="66">
        <f>IFERROR(__xludf.DUMMYFUNCTION("INDEX(SPLIT(E18, char(10)), 0, 1)/86400+date(1970,1,1)"),44358.84040509259)</f>
        <v>44358.84041</v>
      </c>
      <c r="G18" s="86" t="s">
        <v>467</v>
      </c>
      <c r="H18" s="86" t="s">
        <v>468</v>
      </c>
      <c r="I18" s="40" t="s">
        <v>16</v>
      </c>
    </row>
    <row r="19">
      <c r="A19" s="77" t="s">
        <v>7</v>
      </c>
      <c r="B19" s="77" t="s">
        <v>147</v>
      </c>
      <c r="C19" s="78">
        <v>1.0</v>
      </c>
      <c r="D19" s="80" t="b">
        <v>0</v>
      </c>
      <c r="E19" s="40">
        <v>1.623442308E9</v>
      </c>
      <c r="F19" s="66">
        <f>IFERROR(__xludf.DUMMYFUNCTION("INDEX(SPLIT(E19, char(10)), 0, 1)/86400+date(1970,1,1)"),44358.84152777778)</f>
        <v>44358.84153</v>
      </c>
      <c r="G19" s="86" t="s">
        <v>469</v>
      </c>
      <c r="H19" s="86" t="s">
        <v>470</v>
      </c>
      <c r="I19" s="40" t="s">
        <v>17</v>
      </c>
    </row>
    <row r="20">
      <c r="A20" s="77" t="s">
        <v>7</v>
      </c>
      <c r="B20" s="77" t="s">
        <v>153</v>
      </c>
      <c r="C20" s="78">
        <v>45.0</v>
      </c>
      <c r="D20" s="80" t="b">
        <v>0</v>
      </c>
      <c r="E20" s="40">
        <v>1.623442422E9</v>
      </c>
      <c r="F20" s="66">
        <f>IFERROR(__xludf.DUMMYFUNCTION("INDEX(SPLIT(E20, char(10)), 0, 1)/86400+date(1970,1,1)"),44358.84284722222)</f>
        <v>44358.84285</v>
      </c>
      <c r="G20" s="86" t="s">
        <v>471</v>
      </c>
      <c r="H20" s="86" t="s">
        <v>472</v>
      </c>
      <c r="I20" s="40" t="s">
        <v>17</v>
      </c>
    </row>
    <row r="21">
      <c r="A21" s="77" t="s">
        <v>7</v>
      </c>
      <c r="B21" s="77" t="s">
        <v>156</v>
      </c>
      <c r="C21" s="78">
        <v>45.0</v>
      </c>
      <c r="D21" s="80" t="b">
        <v>0</v>
      </c>
      <c r="E21" s="40">
        <v>1.623442547E9</v>
      </c>
      <c r="F21" s="66">
        <f>IFERROR(__xludf.DUMMYFUNCTION("INDEX(SPLIT(E21, char(10)), 0, 1)/86400+date(1970,1,1)"),44358.844293981485)</f>
        <v>44358.84429</v>
      </c>
      <c r="G21" s="86" t="s">
        <v>473</v>
      </c>
      <c r="H21" s="86" t="s">
        <v>474</v>
      </c>
      <c r="I21" s="40" t="s">
        <v>17</v>
      </c>
    </row>
    <row r="22">
      <c r="A22" s="77" t="s">
        <v>8</v>
      </c>
      <c r="B22" s="77" t="s">
        <v>339</v>
      </c>
      <c r="C22" s="78">
        <v>46.0</v>
      </c>
      <c r="D22" s="80" t="b">
        <v>1</v>
      </c>
      <c r="E22" s="40">
        <v>1.623442652E9</v>
      </c>
      <c r="F22" s="66">
        <f>IFERROR(__xludf.DUMMYFUNCTION("INDEX(SPLIT(E22, char(10)), 0, 1)/86400+date(1970,1,1)"),44358.84550925926)</f>
        <v>44358.84551</v>
      </c>
      <c r="G22" s="86" t="s">
        <v>475</v>
      </c>
      <c r="H22" s="86" t="s">
        <v>476</v>
      </c>
      <c r="I22" s="40" t="s">
        <v>15</v>
      </c>
    </row>
    <row r="23">
      <c r="A23" s="77" t="s">
        <v>8</v>
      </c>
      <c r="B23" s="77" t="s">
        <v>342</v>
      </c>
      <c r="C23" s="78">
        <v>46.0</v>
      </c>
      <c r="D23" s="80" t="b">
        <v>1</v>
      </c>
      <c r="E23" s="40">
        <v>1.623442848E9</v>
      </c>
      <c r="F23" s="66">
        <f>IFERROR(__xludf.DUMMYFUNCTION("INDEX(SPLIT(E23, char(10)), 0, 1)/86400+date(1970,1,1)"),44358.84777777777)</f>
        <v>44358.84778</v>
      </c>
      <c r="G23" s="86" t="s">
        <v>477</v>
      </c>
      <c r="H23" s="86" t="s">
        <v>478</v>
      </c>
      <c r="I23" s="40" t="s">
        <v>17</v>
      </c>
    </row>
    <row r="24">
      <c r="A24" s="5" t="s">
        <v>128</v>
      </c>
      <c r="B24" s="5" t="s">
        <v>345</v>
      </c>
      <c r="C24" s="78">
        <v>53.0</v>
      </c>
      <c r="D24" s="80" t="b">
        <v>1</v>
      </c>
      <c r="E24" s="40">
        <v>1.623442946E9</v>
      </c>
      <c r="F24" s="66">
        <f>IFERROR(__xludf.DUMMYFUNCTION("INDEX(SPLIT(E24, char(10)), 0, 1)/86400+date(1970,1,1)"),44358.848912037036)</f>
        <v>44358.84891</v>
      </c>
      <c r="G24" s="86" t="s">
        <v>479</v>
      </c>
      <c r="H24" s="86" t="s">
        <v>480</v>
      </c>
      <c r="I24" s="40" t="s">
        <v>15</v>
      </c>
    </row>
    <row r="25">
      <c r="A25" s="77" t="s">
        <v>8</v>
      </c>
      <c r="B25" s="74" t="s">
        <v>348</v>
      </c>
      <c r="C25" s="78">
        <v>64.0</v>
      </c>
      <c r="D25" s="80" t="b">
        <v>0</v>
      </c>
      <c r="E25" s="40">
        <v>1.623443042E9</v>
      </c>
      <c r="F25" s="66">
        <f>IFERROR(__xludf.DUMMYFUNCTION("INDEX(SPLIT(E25, char(10)), 0, 1)/86400+date(1970,1,1)"),44358.850023148145)</f>
        <v>44358.85002</v>
      </c>
      <c r="G25" s="86" t="s">
        <v>481</v>
      </c>
      <c r="H25" s="86" t="s">
        <v>482</v>
      </c>
      <c r="I25" s="40" t="s">
        <v>16</v>
      </c>
    </row>
    <row r="26">
      <c r="A26" s="77" t="s">
        <v>8</v>
      </c>
      <c r="B26" s="74" t="s">
        <v>351</v>
      </c>
      <c r="C26" s="78">
        <v>65.0</v>
      </c>
      <c r="D26" s="80" t="b">
        <v>0</v>
      </c>
      <c r="E26" s="40">
        <v>1.623443202E9</v>
      </c>
      <c r="F26" s="66">
        <f>IFERROR(__xludf.DUMMYFUNCTION("INDEX(SPLIT(E26, char(10)), 0, 1)/86400+date(1970,1,1)"),44358.851875)</f>
        <v>44358.85188</v>
      </c>
      <c r="G26" s="86" t="s">
        <v>483</v>
      </c>
      <c r="H26" s="86" t="s">
        <v>484</v>
      </c>
      <c r="I26" s="40" t="s">
        <v>15</v>
      </c>
    </row>
    <row r="27">
      <c r="A27" s="77" t="s">
        <v>128</v>
      </c>
      <c r="B27" s="74" t="s">
        <v>354</v>
      </c>
      <c r="C27" s="78">
        <v>66.0</v>
      </c>
      <c r="D27" s="80" t="b">
        <v>1</v>
      </c>
      <c r="E27" s="40">
        <v>1.623443403E9</v>
      </c>
      <c r="F27" s="66">
        <f>IFERROR(__xludf.DUMMYFUNCTION("INDEX(SPLIT(E27, char(10)), 0, 1)/86400+date(1970,1,1)"),44358.85420138889)</f>
        <v>44358.8542</v>
      </c>
      <c r="G27" s="86" t="s">
        <v>485</v>
      </c>
      <c r="H27" s="86" t="s">
        <v>486</v>
      </c>
      <c r="I27" s="40" t="s">
        <v>17</v>
      </c>
    </row>
    <row r="28">
      <c r="A28" s="77" t="s">
        <v>8</v>
      </c>
      <c r="B28" s="74" t="s">
        <v>357</v>
      </c>
      <c r="C28" s="78">
        <v>74.0</v>
      </c>
      <c r="D28" s="80" t="b">
        <v>1</v>
      </c>
      <c r="E28" s="40">
        <v>1.623443507E9</v>
      </c>
      <c r="F28" s="66">
        <f>IFERROR(__xludf.DUMMYFUNCTION("INDEX(SPLIT(E28, char(10)), 0, 1)/86400+date(1970,1,1)"),44358.85540509259)</f>
        <v>44358.85541</v>
      </c>
      <c r="G28" s="86" t="s">
        <v>487</v>
      </c>
      <c r="H28" s="86" t="s">
        <v>488</v>
      </c>
      <c r="I28" s="40" t="s">
        <v>16</v>
      </c>
    </row>
    <row r="29">
      <c r="A29" s="77" t="s">
        <v>8</v>
      </c>
      <c r="B29" s="74" t="s">
        <v>360</v>
      </c>
      <c r="C29" s="78">
        <v>76.0</v>
      </c>
      <c r="D29" s="80" t="b">
        <v>0</v>
      </c>
      <c r="E29" s="89">
        <v>1.623443638E9</v>
      </c>
      <c r="F29" s="66">
        <f>IFERROR(__xludf.DUMMYFUNCTION("INDEX(SPLIT(E29, char(10)), 0, 1)/86400+date(1970,1,1)"),44358.8569212963)</f>
        <v>44358.85692</v>
      </c>
      <c r="G29" s="86" t="s">
        <v>489</v>
      </c>
      <c r="H29" s="86" t="s">
        <v>490</v>
      </c>
      <c r="I29" s="40" t="s">
        <v>17</v>
      </c>
    </row>
    <row r="30">
      <c r="A30" s="77" t="s">
        <v>128</v>
      </c>
      <c r="B30" s="74" t="s">
        <v>363</v>
      </c>
      <c r="C30" s="78">
        <v>79.0</v>
      </c>
      <c r="D30" s="80" t="b">
        <v>1</v>
      </c>
      <c r="E30" s="89">
        <v>1.623443743E9</v>
      </c>
      <c r="F30" s="66">
        <f>IFERROR(__xludf.DUMMYFUNCTION("INDEX(SPLIT(E30, char(10)), 0, 1)/86400+date(1970,1,1)"),44358.858136574076)</f>
        <v>44358.85814</v>
      </c>
      <c r="G30" s="86" t="s">
        <v>491</v>
      </c>
      <c r="H30" s="86" t="s">
        <v>492</v>
      </c>
      <c r="I30" s="40" t="s">
        <v>16</v>
      </c>
    </row>
    <row r="31">
      <c r="A31" s="77" t="s">
        <v>8</v>
      </c>
      <c r="B31" s="74" t="s">
        <v>366</v>
      </c>
      <c r="C31" s="78">
        <v>81.0</v>
      </c>
      <c r="D31" s="80" t="b">
        <v>1</v>
      </c>
      <c r="E31" s="89">
        <v>1.623443836E9</v>
      </c>
      <c r="F31" s="66">
        <f>IFERROR(__xludf.DUMMYFUNCTION("INDEX(SPLIT(E31, char(10)), 0, 1)/86400+date(1970,1,1)"),44358.85921296296)</f>
        <v>44358.85921</v>
      </c>
      <c r="G31" s="86" t="s">
        <v>493</v>
      </c>
      <c r="H31" s="86" t="s">
        <v>494</v>
      </c>
      <c r="I31" s="40" t="s">
        <v>17</v>
      </c>
    </row>
    <row r="32">
      <c r="A32" s="77" t="s">
        <v>8</v>
      </c>
      <c r="B32" s="74" t="s">
        <v>369</v>
      </c>
      <c r="C32" s="78">
        <v>81.0</v>
      </c>
      <c r="D32" s="80" t="b">
        <v>1</v>
      </c>
      <c r="E32" s="89">
        <v>1.623443966E9</v>
      </c>
      <c r="F32" s="66">
        <f>IFERROR(__xludf.DUMMYFUNCTION("INDEX(SPLIT(E32, char(10)), 0, 1)/86400+date(1970,1,1)"),44358.86071759259)</f>
        <v>44358.86072</v>
      </c>
      <c r="G32" s="86" t="s">
        <v>495</v>
      </c>
      <c r="H32" s="86" t="s">
        <v>496</v>
      </c>
      <c r="I32" s="40" t="s">
        <v>16</v>
      </c>
    </row>
    <row r="33">
      <c r="A33" s="77" t="s">
        <v>8</v>
      </c>
      <c r="B33" s="74" t="s">
        <v>372</v>
      </c>
      <c r="C33" s="78">
        <v>85.0</v>
      </c>
      <c r="D33" s="80" t="b">
        <v>0</v>
      </c>
      <c r="E33" s="89">
        <v>1.62344416E9</v>
      </c>
      <c r="F33" s="66">
        <f>IFERROR(__xludf.DUMMYFUNCTION("INDEX(SPLIT(E33, char(10)), 0, 1)/86400+date(1970,1,1)"),44358.86296296296)</f>
        <v>44358.86296</v>
      </c>
      <c r="G33" s="86" t="s">
        <v>497</v>
      </c>
      <c r="H33" s="86" t="s">
        <v>498</v>
      </c>
      <c r="I33" s="40" t="s">
        <v>17</v>
      </c>
    </row>
    <row r="34">
      <c r="A34" s="77" t="s">
        <v>6</v>
      </c>
      <c r="B34" s="74" t="s">
        <v>375</v>
      </c>
      <c r="C34" s="78">
        <v>88.0</v>
      </c>
      <c r="D34" s="80" t="b">
        <v>0</v>
      </c>
      <c r="E34" s="89">
        <v>1.623444331E9</v>
      </c>
      <c r="F34" s="66">
        <f>IFERROR(__xludf.DUMMYFUNCTION("INDEX(SPLIT(E34, char(10)), 0, 1)/86400+date(1970,1,1)"),44358.86494212963)</f>
        <v>44358.86494</v>
      </c>
      <c r="G34" s="86" t="s">
        <v>499</v>
      </c>
      <c r="H34" s="86" t="s">
        <v>500</v>
      </c>
      <c r="I34" s="40" t="s">
        <v>15</v>
      </c>
    </row>
    <row r="35">
      <c r="A35" s="77" t="s">
        <v>6</v>
      </c>
      <c r="B35" s="74" t="s">
        <v>378</v>
      </c>
      <c r="C35" s="78">
        <v>90.0</v>
      </c>
      <c r="D35" s="80" t="b">
        <v>0</v>
      </c>
      <c r="E35" s="89">
        <v>1.623444488E9</v>
      </c>
      <c r="F35" s="66">
        <f>IFERROR(__xludf.DUMMYFUNCTION("INDEX(SPLIT(E35, char(10)), 0, 1)/86400+date(1970,1,1)"),44358.86675925926)</f>
        <v>44358.86676</v>
      </c>
      <c r="G35" s="86" t="s">
        <v>501</v>
      </c>
      <c r="H35" s="86" t="s">
        <v>502</v>
      </c>
      <c r="I35" s="40" t="s">
        <v>14</v>
      </c>
    </row>
    <row r="36">
      <c r="A36" s="77" t="s">
        <v>7</v>
      </c>
      <c r="B36" s="74" t="s">
        <v>181</v>
      </c>
      <c r="C36" s="78">
        <v>90.0</v>
      </c>
      <c r="D36" s="80" t="b">
        <v>1</v>
      </c>
      <c r="E36" s="89">
        <v>1.623444593E9</v>
      </c>
      <c r="F36" s="66">
        <f>IFERROR(__xludf.DUMMYFUNCTION("INDEX(SPLIT(E36, char(10)), 0, 1)/86400+date(1970,1,1)"),44358.86797453703)</f>
        <v>44358.86797</v>
      </c>
      <c r="G36" s="86" t="s">
        <v>503</v>
      </c>
      <c r="H36" s="86" t="s">
        <v>504</v>
      </c>
      <c r="I36" s="40" t="s">
        <v>17</v>
      </c>
    </row>
    <row r="37">
      <c r="A37" s="77"/>
      <c r="B37" s="74"/>
      <c r="C37" s="78"/>
      <c r="D37" s="79"/>
      <c r="E37" s="89">
        <v>1.623444836E9</v>
      </c>
      <c r="F37" s="66">
        <f>IFERROR(__xludf.DUMMYFUNCTION("INDEX(SPLIT(E37, char(10)), 0, 1)/86400+date(1970,1,1)"),44358.87078703704)</f>
        <v>44358.87079</v>
      </c>
      <c r="G37" s="86" t="s">
        <v>505</v>
      </c>
      <c r="H37" s="86" t="s">
        <v>506</v>
      </c>
      <c r="I37" s="40" t="s">
        <v>16</v>
      </c>
    </row>
    <row r="38">
      <c r="A38" s="77"/>
      <c r="B38" s="74"/>
      <c r="C38" s="78"/>
      <c r="D38" s="79"/>
      <c r="F38" s="82"/>
      <c r="G38" s="86"/>
      <c r="H38" s="86"/>
      <c r="I38" s="41"/>
    </row>
    <row r="39">
      <c r="A39" s="77"/>
      <c r="B39" s="74"/>
      <c r="C39" s="78"/>
      <c r="D39" s="79"/>
      <c r="F39" s="82"/>
      <c r="G39" s="86"/>
      <c r="H39" s="86"/>
      <c r="I39" s="41"/>
    </row>
    <row r="40">
      <c r="A40" s="77"/>
      <c r="B40" s="74"/>
      <c r="C40" s="78"/>
      <c r="D40" s="79"/>
      <c r="F40" s="82"/>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0.05714285714</v>
      </c>
      <c r="E2" s="40">
        <v>1.59310457E9</v>
      </c>
      <c r="F2" s="66">
        <f>IFERROR(__xludf.DUMMYFUNCTION("INDEX(SPLIT(E2, char(10)), 0, 1)/86400+date(1970,1,1)"),44007.71030092593)</f>
        <v>44007.7103</v>
      </c>
      <c r="G2" s="86" t="s">
        <v>507</v>
      </c>
      <c r="H2" s="86" t="s">
        <v>508</v>
      </c>
      <c r="I2" s="40" t="s">
        <v>14</v>
      </c>
      <c r="J2" s="40"/>
    </row>
    <row r="3">
      <c r="A3" s="40" t="s">
        <v>14</v>
      </c>
      <c r="B3" s="40" t="s">
        <v>99</v>
      </c>
      <c r="C3" s="40">
        <f t="shared" si="1"/>
        <v>5</v>
      </c>
      <c r="D3" s="64">
        <f t="shared" si="2"/>
        <v>0.1428571429</v>
      </c>
      <c r="E3" s="40">
        <v>1.593104741E9</v>
      </c>
      <c r="F3" s="66">
        <f>IFERROR(__xludf.DUMMYFUNCTION("INDEX(SPLIT(E3, char(10)), 0, 1)/86400+date(1970,1,1)"),44007.71228009259)</f>
        <v>44007.71228</v>
      </c>
      <c r="G3" s="86" t="s">
        <v>509</v>
      </c>
      <c r="H3" s="86" t="s">
        <v>510</v>
      </c>
      <c r="I3" s="40" t="s">
        <v>14</v>
      </c>
      <c r="J3" s="40"/>
    </row>
    <row r="4">
      <c r="A4" s="40" t="s">
        <v>15</v>
      </c>
      <c r="B4" s="40" t="s">
        <v>102</v>
      </c>
      <c r="C4" s="40">
        <f t="shared" si="1"/>
        <v>6</v>
      </c>
      <c r="D4" s="64">
        <f t="shared" si="2"/>
        <v>0.1714285714</v>
      </c>
      <c r="E4" s="40">
        <v>1.593104925E9</v>
      </c>
      <c r="F4" s="66">
        <f>IFERROR(__xludf.DUMMYFUNCTION("INDEX(SPLIT(E4, char(10)), 0, 1)/86400+date(1970,1,1)"),44007.71440972222)</f>
        <v>44007.71441</v>
      </c>
      <c r="G4" s="86" t="s">
        <v>318</v>
      </c>
      <c r="H4" s="86" t="s">
        <v>511</v>
      </c>
      <c r="I4" s="40" t="s">
        <v>16</v>
      </c>
      <c r="J4" s="40"/>
    </row>
    <row r="5">
      <c r="A5" s="40" t="s">
        <v>16</v>
      </c>
      <c r="B5" s="40" t="s">
        <v>105</v>
      </c>
      <c r="C5" s="40">
        <f t="shared" si="1"/>
        <v>12</v>
      </c>
      <c r="D5" s="64">
        <f t="shared" si="2"/>
        <v>0.3428571429</v>
      </c>
      <c r="E5" s="40">
        <v>1.593105021E9</v>
      </c>
      <c r="F5" s="66">
        <f>IFERROR(__xludf.DUMMYFUNCTION("INDEX(SPLIT(E5, char(10)), 0, 1)/86400+date(1970,1,1)"),44007.71552083333)</f>
        <v>44007.71552</v>
      </c>
      <c r="G5" s="86" t="s">
        <v>512</v>
      </c>
      <c r="H5" s="86" t="s">
        <v>513</v>
      </c>
      <c r="I5" s="40" t="s">
        <v>17</v>
      </c>
      <c r="J5" s="40"/>
    </row>
    <row r="6">
      <c r="A6" s="40" t="s">
        <v>17</v>
      </c>
      <c r="B6" s="40" t="s">
        <v>108</v>
      </c>
      <c r="C6" s="40">
        <f t="shared" si="1"/>
        <v>10</v>
      </c>
      <c r="D6" s="64">
        <f t="shared" si="2"/>
        <v>0.2857142857</v>
      </c>
      <c r="E6" s="40">
        <v>1.593105117E9</v>
      </c>
      <c r="F6" s="66">
        <f>IFERROR(__xludf.DUMMYFUNCTION("INDEX(SPLIT(E6, char(10)), 0, 1)/86400+date(1970,1,1)"),44007.716631944444)</f>
        <v>44007.71663</v>
      </c>
      <c r="G6" s="86" t="s">
        <v>514</v>
      </c>
      <c r="H6" s="86" t="s">
        <v>515</v>
      </c>
      <c r="I6" s="40" t="s">
        <v>16</v>
      </c>
    </row>
    <row r="7">
      <c r="B7" s="40" t="s">
        <v>13</v>
      </c>
      <c r="C7" s="69">
        <f t="shared" ref="C7:D7" si="3">SUM(C2:C6)</f>
        <v>35</v>
      </c>
      <c r="D7" s="70">
        <f t="shared" si="3"/>
        <v>1</v>
      </c>
      <c r="E7" s="40">
        <v>1.593105214E9</v>
      </c>
      <c r="F7" s="66">
        <f>IFERROR(__xludf.DUMMYFUNCTION("INDEX(SPLIT(E7, char(10)), 0, 1)/86400+date(1970,1,1)"),44007.71775462963)</f>
        <v>44007.71775</v>
      </c>
      <c r="G7" s="86" t="s">
        <v>516</v>
      </c>
      <c r="H7" s="86" t="s">
        <v>517</v>
      </c>
      <c r="I7" s="40" t="s">
        <v>17</v>
      </c>
    </row>
    <row r="8">
      <c r="A8" s="71"/>
      <c r="B8" s="40" t="s">
        <v>18</v>
      </c>
      <c r="C8" s="57">
        <f t="shared" ref="C8:D8" si="4">SUM(C5:C6)</f>
        <v>22</v>
      </c>
      <c r="D8" s="14">
        <f t="shared" si="4"/>
        <v>0.6285714286</v>
      </c>
      <c r="E8" s="40">
        <v>1.593105333E9</v>
      </c>
      <c r="F8" s="66">
        <f>IFERROR(__xludf.DUMMYFUNCTION("INDEX(SPLIT(E8, char(10)), 0, 1)/86400+date(1970,1,1)"),44007.71913194444)</f>
        <v>44007.71913</v>
      </c>
      <c r="G8" s="86" t="s">
        <v>518</v>
      </c>
      <c r="H8" s="86" t="s">
        <v>519</v>
      </c>
      <c r="I8" s="40" t="s">
        <v>75</v>
      </c>
    </row>
    <row r="9">
      <c r="A9" s="71"/>
      <c r="B9" s="40" t="s">
        <v>47</v>
      </c>
      <c r="C9" s="57">
        <f>SUM(C6:C7)</f>
        <v>45</v>
      </c>
      <c r="D9" s="14">
        <f>SUM(D5:D6) + D2</f>
        <v>0.6857142857</v>
      </c>
      <c r="E9" s="40">
        <v>1.593105559E9</v>
      </c>
      <c r="F9" s="66">
        <f>IFERROR(__xludf.DUMMYFUNCTION("INDEX(SPLIT(E9, char(10)), 0, 1)/86400+date(1970,1,1)"),44007.72174768518)</f>
        <v>44007.72175</v>
      </c>
      <c r="G9" s="86" t="s">
        <v>520</v>
      </c>
      <c r="H9" s="86" t="s">
        <v>521</v>
      </c>
      <c r="I9" s="40" t="s">
        <v>14</v>
      </c>
    </row>
    <row r="10">
      <c r="A10" s="71"/>
      <c r="B10" s="71"/>
      <c r="C10" s="71"/>
      <c r="D10" s="71"/>
      <c r="E10" s="40">
        <v>1.59310565E9</v>
      </c>
      <c r="F10" s="66">
        <f>IFERROR(__xludf.DUMMYFUNCTION("INDEX(SPLIT(E10, char(10)), 0, 1)/86400+date(1970,1,1)"),44007.72280092593)</f>
        <v>44007.7228</v>
      </c>
      <c r="G10" s="86" t="s">
        <v>522</v>
      </c>
      <c r="H10" s="86" t="s">
        <v>523</v>
      </c>
      <c r="I10" s="40" t="s">
        <v>16</v>
      </c>
    </row>
    <row r="11">
      <c r="A11" s="71"/>
      <c r="B11" s="71"/>
      <c r="C11" s="71"/>
      <c r="D11" s="71"/>
      <c r="E11" s="40">
        <v>1.593105741E9</v>
      </c>
      <c r="F11" s="66">
        <f>IFERROR(__xludf.DUMMYFUNCTION("INDEX(SPLIT(E11, char(10)), 0, 1)/86400+date(1970,1,1)"),44007.72385416667)</f>
        <v>44007.72385</v>
      </c>
      <c r="G11" s="86" t="s">
        <v>524</v>
      </c>
      <c r="H11" s="86" t="s">
        <v>525</v>
      </c>
      <c r="I11" s="40" t="s">
        <v>17</v>
      </c>
    </row>
    <row r="12">
      <c r="A12" s="72" t="s">
        <v>121</v>
      </c>
      <c r="B12" s="73" t="s">
        <v>526</v>
      </c>
      <c r="C12" s="74"/>
      <c r="D12" s="74"/>
      <c r="E12" s="40">
        <v>1.593105842E9</v>
      </c>
      <c r="F12" s="66">
        <f>IFERROR(__xludf.DUMMYFUNCTION("INDEX(SPLIT(E12, char(10)), 0, 1)/86400+date(1970,1,1)"),44007.725023148145)</f>
        <v>44007.72502</v>
      </c>
      <c r="G12" s="86" t="s">
        <v>527</v>
      </c>
      <c r="H12" s="86" t="s">
        <v>528</v>
      </c>
      <c r="I12" s="40" t="s">
        <v>14</v>
      </c>
    </row>
    <row r="13">
      <c r="A13" s="72" t="s">
        <v>125</v>
      </c>
      <c r="B13" s="74"/>
      <c r="C13" s="72" t="s">
        <v>89</v>
      </c>
      <c r="D13" s="72" t="s">
        <v>90</v>
      </c>
      <c r="E13" s="40">
        <v>1.593105932E9</v>
      </c>
      <c r="F13" s="66">
        <f>IFERROR(__xludf.DUMMYFUNCTION("INDEX(SPLIT(E13, char(10)), 0, 1)/86400+date(1970,1,1)"),44007.726064814815)</f>
        <v>44007.72606</v>
      </c>
      <c r="G13" s="86" t="s">
        <v>529</v>
      </c>
      <c r="H13" s="86" t="s">
        <v>530</v>
      </c>
      <c r="I13" s="40" t="s">
        <v>17</v>
      </c>
    </row>
    <row r="14">
      <c r="A14" s="5" t="s">
        <v>128</v>
      </c>
      <c r="B14" s="5" t="s">
        <v>129</v>
      </c>
      <c r="C14" s="75">
        <f t="shared" ref="C14:C17" si="5">COUNTIF($A$19:$A1000, A14)</f>
        <v>3</v>
      </c>
      <c r="D14" s="76">
        <f>IFERROR(__xludf.DUMMYFUNCTION("IF(C14, COUNTIF(FILTER($D$19:$D1000, $A$19:$A1000=A14), TRUE)/C14, 0)"),1.0)</f>
        <v>1</v>
      </c>
      <c r="E14" s="40">
        <v>1.593106498E9</v>
      </c>
      <c r="F14" s="66">
        <f>IFERROR(__xludf.DUMMYFUNCTION("INDEX(SPLIT(E14, char(10)), 0, 1)/86400+date(1970,1,1)"),44007.73261574074)</f>
        <v>44007.73262</v>
      </c>
      <c r="G14" s="86" t="s">
        <v>531</v>
      </c>
      <c r="H14" s="86" t="s">
        <v>532</v>
      </c>
      <c r="I14" s="40" t="s">
        <v>15</v>
      </c>
    </row>
    <row r="15">
      <c r="A15" s="5" t="s">
        <v>6</v>
      </c>
      <c r="B15" s="5" t="s">
        <v>132</v>
      </c>
      <c r="C15" s="75">
        <f t="shared" si="5"/>
        <v>3</v>
      </c>
      <c r="D15" s="76">
        <f>IFERROR(__xludf.DUMMYFUNCTION("IF(C15, COUNTIF(FILTER($D$19:$D1000, $A$19:$A1000=A15), TRUE)/C15, 0)"),0.6666666666666666)</f>
        <v>0.6666666667</v>
      </c>
      <c r="E15" s="40">
        <v>1.593106608E9</v>
      </c>
      <c r="F15" s="66">
        <f>IFERROR(__xludf.DUMMYFUNCTION("INDEX(SPLIT(E15, char(10)), 0, 1)/86400+date(1970,1,1)"),44007.73388888889)</f>
        <v>44007.73389</v>
      </c>
      <c r="G15" s="86" t="s">
        <v>533</v>
      </c>
      <c r="H15" s="86" t="s">
        <v>534</v>
      </c>
      <c r="I15" s="40" t="s">
        <v>15</v>
      </c>
    </row>
    <row r="16">
      <c r="A16" s="5" t="s">
        <v>7</v>
      </c>
      <c r="B16" s="5" t="s">
        <v>135</v>
      </c>
      <c r="C16" s="75">
        <f t="shared" si="5"/>
        <v>4</v>
      </c>
      <c r="D16" s="76">
        <f>IFERROR(__xludf.DUMMYFUNCTION("IF(C16, COUNTIF(FILTER($D$19:$D1000, $A$19:$A1000=A16), TRUE)/C16, 0)"),0.5)</f>
        <v>0.5</v>
      </c>
      <c r="E16" s="40">
        <v>1.593106945E9</v>
      </c>
      <c r="F16" s="66">
        <f>IFERROR(__xludf.DUMMYFUNCTION("INDEX(SPLIT(E16, char(10)), 0, 1)/86400+date(1970,1,1)"),44007.73778935186)</f>
        <v>44007.73779</v>
      </c>
      <c r="G16" s="86" t="s">
        <v>535</v>
      </c>
      <c r="H16" s="86" t="s">
        <v>536</v>
      </c>
      <c r="I16" s="40" t="s">
        <v>15</v>
      </c>
    </row>
    <row r="17">
      <c r="A17" s="5" t="s">
        <v>8</v>
      </c>
      <c r="B17" s="5" t="s">
        <v>79</v>
      </c>
      <c r="C17" s="75">
        <f t="shared" si="5"/>
        <v>8</v>
      </c>
      <c r="D17" s="76">
        <f>IFERROR(__xludf.DUMMYFUNCTION("IF(C17, COUNTIF(FILTER($D$19:$D1000, $A$19:$A1000=A17), TRUE)/C17, 0)"),0.75)</f>
        <v>0.75</v>
      </c>
      <c r="E17" s="40">
        <v>1.5931071E9</v>
      </c>
      <c r="F17" s="66">
        <f>IFERROR(__xludf.DUMMYFUNCTION("INDEX(SPLIT(E17, char(10)), 0, 1)/86400+date(1970,1,1)"),44007.73958333333)</f>
        <v>44007.73958</v>
      </c>
      <c r="G17" s="86" t="s">
        <v>537</v>
      </c>
      <c r="H17" s="86" t="s">
        <v>538</v>
      </c>
      <c r="I17" s="40" t="s">
        <v>17</v>
      </c>
    </row>
    <row r="18">
      <c r="A18" s="74"/>
      <c r="B18" s="72" t="s">
        <v>9</v>
      </c>
      <c r="C18" s="75">
        <f>SUM(C14:C17)</f>
        <v>18</v>
      </c>
      <c r="D18" s="76">
        <f>COUNTIF($D$19:$D1000, TRUE)/SUM($C$14:$C$17)</f>
        <v>0.7222222222</v>
      </c>
      <c r="E18" s="40">
        <v>1.593107327E9</v>
      </c>
      <c r="F18" s="66">
        <f>IFERROR(__xludf.DUMMYFUNCTION("INDEX(SPLIT(E18, char(10)), 0, 1)/86400+date(1970,1,1)"),44007.74221064815)</f>
        <v>44007.74221</v>
      </c>
      <c r="G18" s="86" t="s">
        <v>539</v>
      </c>
      <c r="H18" s="86" t="s">
        <v>540</v>
      </c>
      <c r="I18" s="40" t="s">
        <v>17</v>
      </c>
    </row>
    <row r="19">
      <c r="A19" s="77" t="s">
        <v>7</v>
      </c>
      <c r="B19" s="77" t="s">
        <v>147</v>
      </c>
      <c r="C19" s="78">
        <v>1.0</v>
      </c>
      <c r="D19" s="80" t="b">
        <v>0</v>
      </c>
      <c r="E19" s="40">
        <v>1.593107461E9</v>
      </c>
      <c r="F19" s="66">
        <f>IFERROR(__xludf.DUMMYFUNCTION("INDEX(SPLIT(E19, char(10)), 0, 1)/86400+date(1970,1,1)"),44007.74376157408)</f>
        <v>44007.74376</v>
      </c>
      <c r="G19" s="86" t="s">
        <v>327</v>
      </c>
      <c r="H19" s="86" t="s">
        <v>541</v>
      </c>
      <c r="I19" s="40" t="s">
        <v>15</v>
      </c>
    </row>
    <row r="20">
      <c r="A20" s="77" t="s">
        <v>128</v>
      </c>
      <c r="B20" s="77" t="s">
        <v>542</v>
      </c>
      <c r="C20" s="78">
        <v>8.0</v>
      </c>
      <c r="D20" s="80" t="b">
        <v>1</v>
      </c>
      <c r="E20" s="40">
        <v>1.593108171E9</v>
      </c>
      <c r="F20" s="66">
        <f>IFERROR(__xludf.DUMMYFUNCTION("INDEX(SPLIT(E20, char(10)), 0, 1)/86400+date(1970,1,1)"),44007.75197916667)</f>
        <v>44007.75198</v>
      </c>
      <c r="G20" s="86" t="s">
        <v>543</v>
      </c>
      <c r="H20" s="86" t="s">
        <v>544</v>
      </c>
      <c r="I20" s="40" t="s">
        <v>16</v>
      </c>
    </row>
    <row r="21">
      <c r="A21" s="77" t="s">
        <v>6</v>
      </c>
      <c r="B21" s="77" t="s">
        <v>545</v>
      </c>
      <c r="C21" s="78">
        <v>11.0</v>
      </c>
      <c r="D21" s="80" t="b">
        <v>1</v>
      </c>
      <c r="E21" s="40">
        <v>1.593108314E9</v>
      </c>
      <c r="F21" s="66">
        <f>IFERROR(__xludf.DUMMYFUNCTION("INDEX(SPLIT(E21, char(10)), 0, 1)/86400+date(1970,1,1)"),44007.75363425926)</f>
        <v>44007.75363</v>
      </c>
      <c r="G21" s="86" t="s">
        <v>546</v>
      </c>
      <c r="H21" s="86" t="s">
        <v>547</v>
      </c>
      <c r="I21" s="40" t="s">
        <v>16</v>
      </c>
    </row>
    <row r="22">
      <c r="A22" s="77" t="s">
        <v>128</v>
      </c>
      <c r="B22" s="77" t="s">
        <v>548</v>
      </c>
      <c r="C22" s="78">
        <v>20.0</v>
      </c>
      <c r="D22" s="80" t="b">
        <v>1</v>
      </c>
      <c r="E22" s="40">
        <v>1.593108444E9</v>
      </c>
      <c r="F22" s="66">
        <f>IFERROR(__xludf.DUMMYFUNCTION("INDEX(SPLIT(E22, char(10)), 0, 1)/86400+date(1970,1,1)"),44007.75513888889)</f>
        <v>44007.75514</v>
      </c>
      <c r="G22" s="86" t="s">
        <v>549</v>
      </c>
      <c r="H22" s="86" t="s">
        <v>550</v>
      </c>
      <c r="I22" s="40" t="s">
        <v>16</v>
      </c>
    </row>
    <row r="23">
      <c r="A23" s="77" t="s">
        <v>7</v>
      </c>
      <c r="B23" s="77" t="s">
        <v>153</v>
      </c>
      <c r="C23" s="78">
        <v>45.0</v>
      </c>
      <c r="D23" s="80" t="b">
        <v>0</v>
      </c>
      <c r="E23" s="40">
        <v>1.593108857E9</v>
      </c>
      <c r="F23" s="66">
        <f>IFERROR(__xludf.DUMMYFUNCTION("INDEX(SPLIT(E23, char(10)), 0, 1)/86400+date(1970,1,1)"),44007.75991898148)</f>
        <v>44007.75992</v>
      </c>
      <c r="G23" s="86" t="s">
        <v>551</v>
      </c>
      <c r="H23" s="86" t="s">
        <v>552</v>
      </c>
      <c r="I23" s="40" t="s">
        <v>17</v>
      </c>
    </row>
    <row r="24">
      <c r="A24" s="5" t="s">
        <v>7</v>
      </c>
      <c r="B24" s="5" t="s">
        <v>156</v>
      </c>
      <c r="C24" s="78">
        <v>45.0</v>
      </c>
      <c r="D24" s="80" t="b">
        <v>1</v>
      </c>
      <c r="E24" s="40">
        <v>1.593109334E9</v>
      </c>
      <c r="F24" s="66">
        <f>IFERROR(__xludf.DUMMYFUNCTION("INDEX(SPLIT(E24, char(10)), 0, 1)/86400+date(1970,1,1)"),44007.765439814815)</f>
        <v>44007.76544</v>
      </c>
      <c r="G24" s="86" t="s">
        <v>553</v>
      </c>
      <c r="H24" s="86" t="s">
        <v>554</v>
      </c>
      <c r="I24" s="40" t="s">
        <v>16</v>
      </c>
    </row>
    <row r="25">
      <c r="A25" s="77" t="s">
        <v>8</v>
      </c>
      <c r="B25" s="74" t="s">
        <v>555</v>
      </c>
      <c r="C25" s="78">
        <v>46.0</v>
      </c>
      <c r="D25" s="80" t="b">
        <v>1</v>
      </c>
      <c r="E25" s="40">
        <v>1.593109436E9</v>
      </c>
      <c r="F25" s="66">
        <f>IFERROR(__xludf.DUMMYFUNCTION("INDEX(SPLIT(E25, char(10)), 0, 1)/86400+date(1970,1,1)"),44007.76662037037)</f>
        <v>44007.76662</v>
      </c>
      <c r="G25" s="86" t="s">
        <v>463</v>
      </c>
      <c r="H25" s="86" t="s">
        <v>556</v>
      </c>
      <c r="I25" s="40" t="s">
        <v>75</v>
      </c>
    </row>
    <row r="26">
      <c r="A26" s="77" t="s">
        <v>8</v>
      </c>
      <c r="B26" s="74" t="s">
        <v>557</v>
      </c>
      <c r="C26" s="78">
        <v>46.0</v>
      </c>
      <c r="D26" s="80" t="b">
        <v>1</v>
      </c>
      <c r="E26" s="40">
        <v>1.59310956E9</v>
      </c>
      <c r="F26" s="66">
        <f>IFERROR(__xludf.DUMMYFUNCTION("INDEX(SPLIT(E26, char(10)), 0, 1)/86400+date(1970,1,1)"),44007.768055555556)</f>
        <v>44007.76806</v>
      </c>
      <c r="G26" s="86" t="s">
        <v>558</v>
      </c>
      <c r="H26" s="86" t="s">
        <v>559</v>
      </c>
      <c r="I26" s="40" t="s">
        <v>15</v>
      </c>
    </row>
    <row r="27">
      <c r="A27" s="77" t="s">
        <v>6</v>
      </c>
      <c r="B27" s="74" t="s">
        <v>560</v>
      </c>
      <c r="C27" s="78">
        <v>47.0</v>
      </c>
      <c r="D27" s="80" t="b">
        <v>0</v>
      </c>
      <c r="E27" s="40">
        <v>1.593109691E9</v>
      </c>
      <c r="F27" s="66">
        <f>IFERROR(__xludf.DUMMYFUNCTION("INDEX(SPLIT(E27, char(10)), 0, 1)/86400+date(1970,1,1)"),44007.76957175926)</f>
        <v>44007.76957</v>
      </c>
      <c r="G27" s="86" t="s">
        <v>561</v>
      </c>
      <c r="H27" s="86" t="s">
        <v>562</v>
      </c>
      <c r="I27" s="40" t="s">
        <v>16</v>
      </c>
    </row>
    <row r="28">
      <c r="A28" s="77" t="s">
        <v>8</v>
      </c>
      <c r="B28" s="74" t="s">
        <v>563</v>
      </c>
      <c r="C28" s="78">
        <v>64.0</v>
      </c>
      <c r="D28" s="80" t="b">
        <v>1</v>
      </c>
      <c r="E28" s="40">
        <v>1.593109788E9</v>
      </c>
      <c r="F28" s="66">
        <f>IFERROR(__xludf.DUMMYFUNCTION("INDEX(SPLIT(E28, char(10)), 0, 1)/86400+date(1970,1,1)"),44007.77069444444)</f>
        <v>44007.77069</v>
      </c>
      <c r="G28" s="86" t="s">
        <v>564</v>
      </c>
      <c r="H28" s="86" t="s">
        <v>565</v>
      </c>
      <c r="I28" s="40" t="s">
        <v>17</v>
      </c>
    </row>
    <row r="29">
      <c r="A29" s="77" t="s">
        <v>8</v>
      </c>
      <c r="B29" s="74" t="s">
        <v>566</v>
      </c>
      <c r="C29" s="78">
        <v>70.0</v>
      </c>
      <c r="D29" s="80" t="b">
        <v>1</v>
      </c>
      <c r="E29" s="40">
        <v>1.593110286E9</v>
      </c>
      <c r="F29" s="66">
        <f>IFERROR(__xludf.DUMMYFUNCTION("INDEX(SPLIT(E29, char(10)), 0, 1)/86400+date(1970,1,1)"),44007.776458333334)</f>
        <v>44007.77646</v>
      </c>
      <c r="G29" s="86" t="s">
        <v>567</v>
      </c>
      <c r="H29" s="86" t="s">
        <v>568</v>
      </c>
      <c r="I29" s="40" t="s">
        <v>16</v>
      </c>
    </row>
    <row r="30">
      <c r="A30" s="77" t="s">
        <v>8</v>
      </c>
      <c r="B30" s="74" t="s">
        <v>569</v>
      </c>
      <c r="C30" s="78">
        <v>79.0</v>
      </c>
      <c r="D30" s="80" t="b">
        <v>1</v>
      </c>
      <c r="E30" s="40">
        <v>1.593110419E9</v>
      </c>
      <c r="F30" s="66">
        <f>IFERROR(__xludf.DUMMYFUNCTION("INDEX(SPLIT(E30, char(10)), 0, 1)/86400+date(1970,1,1)"),44007.77799768519)</f>
        <v>44007.778</v>
      </c>
      <c r="G30" s="86" t="s">
        <v>570</v>
      </c>
      <c r="H30" s="86" t="s">
        <v>571</v>
      </c>
      <c r="I30" s="40" t="s">
        <v>17</v>
      </c>
    </row>
    <row r="31">
      <c r="A31" s="77" t="s">
        <v>8</v>
      </c>
      <c r="B31" s="74" t="s">
        <v>572</v>
      </c>
      <c r="C31" s="78">
        <v>80.0</v>
      </c>
      <c r="D31" s="80" t="b">
        <v>1</v>
      </c>
      <c r="E31" s="40">
        <v>1.593110628E9</v>
      </c>
      <c r="F31" s="66">
        <f>IFERROR(__xludf.DUMMYFUNCTION("INDEX(SPLIT(E31, char(10)), 0, 1)/86400+date(1970,1,1)"),44007.78041666667)</f>
        <v>44007.78042</v>
      </c>
      <c r="G31" s="86" t="s">
        <v>573</v>
      </c>
      <c r="H31" s="86" t="s">
        <v>574</v>
      </c>
      <c r="I31" s="40" t="s">
        <v>16</v>
      </c>
    </row>
    <row r="32">
      <c r="A32" s="77" t="s">
        <v>6</v>
      </c>
      <c r="B32" s="74" t="s">
        <v>575</v>
      </c>
      <c r="C32" s="78">
        <v>85.0</v>
      </c>
      <c r="D32" s="80" t="b">
        <v>1</v>
      </c>
      <c r="E32" s="40">
        <v>1.593110737E9</v>
      </c>
      <c r="F32" s="66">
        <f>IFERROR(__xludf.DUMMYFUNCTION("INDEX(SPLIT(E32, char(10)), 0, 1)/86400+date(1970,1,1)"),44007.78167824074)</f>
        <v>44007.78168</v>
      </c>
      <c r="G32" s="86" t="s">
        <v>576</v>
      </c>
      <c r="H32" s="86" t="s">
        <v>577</v>
      </c>
      <c r="I32" s="40" t="s">
        <v>17</v>
      </c>
    </row>
    <row r="33">
      <c r="A33" s="77" t="s">
        <v>128</v>
      </c>
      <c r="B33" s="74" t="s">
        <v>578</v>
      </c>
      <c r="C33" s="78">
        <v>86.0</v>
      </c>
      <c r="D33" s="80" t="b">
        <v>1</v>
      </c>
      <c r="E33" s="40">
        <v>1.593110839E9</v>
      </c>
      <c r="F33" s="66">
        <f>IFERROR(__xludf.DUMMYFUNCTION("INDEX(SPLIT(E33, char(10)), 0, 1)/86400+date(1970,1,1)"),44007.7828587963)</f>
        <v>44007.78286</v>
      </c>
      <c r="G33" s="86" t="s">
        <v>579</v>
      </c>
      <c r="H33" s="86" t="s">
        <v>580</v>
      </c>
      <c r="I33" s="40" t="s">
        <v>16</v>
      </c>
    </row>
    <row r="34">
      <c r="A34" s="77" t="s">
        <v>8</v>
      </c>
      <c r="B34" s="74" t="s">
        <v>581</v>
      </c>
      <c r="C34" s="78">
        <v>90.0</v>
      </c>
      <c r="D34" s="80" t="b">
        <v>0</v>
      </c>
      <c r="E34" s="40">
        <v>1.593110984E9</v>
      </c>
      <c r="F34" s="66">
        <f>IFERROR(__xludf.DUMMYFUNCTION("INDEX(SPLIT(E34, char(10)), 0, 1)/86400+date(1970,1,1)"),44007.784537037034)</f>
        <v>44007.78454</v>
      </c>
      <c r="G34" s="86" t="s">
        <v>582</v>
      </c>
      <c r="H34" s="86" t="s">
        <v>583</v>
      </c>
      <c r="I34" s="40" t="s">
        <v>14</v>
      </c>
    </row>
    <row r="35">
      <c r="A35" s="77" t="s">
        <v>8</v>
      </c>
      <c r="B35" s="74" t="s">
        <v>584</v>
      </c>
      <c r="C35" s="78">
        <v>90.0</v>
      </c>
      <c r="D35" s="80" t="b">
        <v>0</v>
      </c>
      <c r="E35" s="40">
        <v>1.593111142E9</v>
      </c>
      <c r="F35" s="66">
        <f>IFERROR(__xludf.DUMMYFUNCTION("INDEX(SPLIT(E35, char(10)), 0, 1)/86400+date(1970,1,1)"),44007.78636574074)</f>
        <v>44007.78637</v>
      </c>
      <c r="G35" s="86" t="s">
        <v>585</v>
      </c>
      <c r="H35" s="86" t="s">
        <v>586</v>
      </c>
      <c r="I35" s="40" t="s">
        <v>15</v>
      </c>
    </row>
    <row r="36">
      <c r="A36" s="77" t="s">
        <v>7</v>
      </c>
      <c r="B36" s="74" t="s">
        <v>181</v>
      </c>
      <c r="C36" s="78">
        <v>90.0</v>
      </c>
      <c r="D36" s="80" t="b">
        <v>1</v>
      </c>
      <c r="E36" s="40">
        <v>1.593111381E9</v>
      </c>
      <c r="F36" s="66">
        <f>IFERROR(__xludf.DUMMYFUNCTION("INDEX(SPLIT(E36, char(10)), 0, 1)/86400+date(1970,1,1)"),44007.789131944446)</f>
        <v>44007.78913</v>
      </c>
      <c r="G36" s="86" t="s">
        <v>587</v>
      </c>
      <c r="H36" s="86" t="s">
        <v>588</v>
      </c>
      <c r="I36" s="40" t="s">
        <v>16</v>
      </c>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1.59310457E9</v>
      </c>
      <c r="F2" s="66">
        <f>IFERROR(__xludf.DUMMYFUNCTION("INDEX(SPLIT(E2, char(10)), 0, 1)/86400+date(1970,1,1)"),44007.71030092593)</f>
        <v>44007.7103</v>
      </c>
      <c r="G2" s="86" t="s">
        <v>589</v>
      </c>
      <c r="H2" s="86" t="s">
        <v>590</v>
      </c>
      <c r="I2" s="40" t="s">
        <v>14</v>
      </c>
      <c r="J2" s="40"/>
    </row>
    <row r="3">
      <c r="A3" s="40" t="s">
        <v>14</v>
      </c>
      <c r="B3" s="40" t="s">
        <v>99</v>
      </c>
      <c r="C3" s="40">
        <f t="shared" si="1"/>
        <v>3</v>
      </c>
      <c r="D3" s="64">
        <f t="shared" si="2"/>
        <v>0.15</v>
      </c>
      <c r="E3" s="89">
        <v>1.593104925E9</v>
      </c>
      <c r="F3" s="66">
        <f>IFERROR(__xludf.DUMMYFUNCTION("INDEX(SPLIT(E3, char(10)), 0, 1)/86400+date(1970,1,1)"),44007.71440972222)</f>
        <v>44007.71441</v>
      </c>
      <c r="G3" s="86" t="s">
        <v>318</v>
      </c>
      <c r="H3" s="86" t="s">
        <v>511</v>
      </c>
      <c r="I3" s="40" t="s">
        <v>16</v>
      </c>
      <c r="J3" s="40"/>
    </row>
    <row r="4">
      <c r="A4" s="40" t="s">
        <v>15</v>
      </c>
      <c r="B4" s="40" t="s">
        <v>102</v>
      </c>
      <c r="C4" s="40">
        <f t="shared" si="1"/>
        <v>0</v>
      </c>
      <c r="D4" s="64">
        <f t="shared" si="2"/>
        <v>0</v>
      </c>
      <c r="E4" s="89">
        <v>1.593105021E9</v>
      </c>
      <c r="F4" s="66">
        <f>IFERROR(__xludf.DUMMYFUNCTION("INDEX(SPLIT(E4, char(10)), 0, 1)/86400+date(1970,1,1)"),44007.71552083333)</f>
        <v>44007.71552</v>
      </c>
      <c r="G4" s="86" t="s">
        <v>591</v>
      </c>
      <c r="H4" s="86" t="s">
        <v>592</v>
      </c>
      <c r="I4" s="40" t="s">
        <v>17</v>
      </c>
      <c r="J4" s="40"/>
    </row>
    <row r="5">
      <c r="A5" s="40" t="s">
        <v>16</v>
      </c>
      <c r="B5" s="40" t="s">
        <v>105</v>
      </c>
      <c r="C5" s="40">
        <f t="shared" si="1"/>
        <v>8</v>
      </c>
      <c r="D5" s="64">
        <f t="shared" si="2"/>
        <v>0.4</v>
      </c>
      <c r="E5" s="89">
        <v>1.593105117E9</v>
      </c>
      <c r="F5" s="66">
        <f>IFERROR(__xludf.DUMMYFUNCTION("INDEX(SPLIT(E5, char(10)), 0, 1)/86400+date(1970,1,1)"),44007.716631944444)</f>
        <v>44007.71663</v>
      </c>
      <c r="G5" s="86" t="s">
        <v>593</v>
      </c>
      <c r="H5" s="86" t="s">
        <v>594</v>
      </c>
      <c r="I5" s="40" t="s">
        <v>16</v>
      </c>
      <c r="J5" s="40"/>
    </row>
    <row r="6">
      <c r="A6" s="40" t="s">
        <v>17</v>
      </c>
      <c r="B6" s="40" t="s">
        <v>108</v>
      </c>
      <c r="C6" s="40">
        <f t="shared" si="1"/>
        <v>9</v>
      </c>
      <c r="D6" s="64">
        <f t="shared" si="2"/>
        <v>0.45</v>
      </c>
      <c r="E6" s="89">
        <v>1.593105244E9</v>
      </c>
      <c r="F6" s="66">
        <f>IFERROR(__xludf.DUMMYFUNCTION("INDEX(SPLIT(E6, char(10)), 0, 1)/86400+date(1970,1,1)"),44007.71810185185)</f>
        <v>44007.7181</v>
      </c>
      <c r="G6" s="86" t="s">
        <v>595</v>
      </c>
      <c r="H6" s="86" t="s">
        <v>510</v>
      </c>
      <c r="I6" s="40" t="s">
        <v>14</v>
      </c>
    </row>
    <row r="7">
      <c r="B7" s="40" t="s">
        <v>13</v>
      </c>
      <c r="C7" s="69">
        <f t="shared" ref="C7:D7" si="3">SUM(C2:C6)</f>
        <v>20</v>
      </c>
      <c r="D7" s="70">
        <f t="shared" si="3"/>
        <v>1</v>
      </c>
      <c r="E7" s="89">
        <v>1.593105352E9</v>
      </c>
      <c r="F7" s="66">
        <f>IFERROR(__xludf.DUMMYFUNCTION("INDEX(SPLIT(E7, char(10)), 0, 1)/86400+date(1970,1,1)"),44007.71935185185)</f>
        <v>44007.71935</v>
      </c>
      <c r="G7" s="86" t="s">
        <v>596</v>
      </c>
      <c r="H7" s="86" t="s">
        <v>597</v>
      </c>
      <c r="I7" s="40" t="s">
        <v>17</v>
      </c>
    </row>
    <row r="8">
      <c r="A8" s="71"/>
      <c r="B8" s="40" t="s">
        <v>18</v>
      </c>
      <c r="C8" s="57">
        <f t="shared" ref="C8:D8" si="4">SUM(C5:C6)</f>
        <v>17</v>
      </c>
      <c r="D8" s="14">
        <f t="shared" si="4"/>
        <v>0.85</v>
      </c>
      <c r="E8" s="89">
        <v>1.59310565E9</v>
      </c>
      <c r="F8" s="66">
        <f>IFERROR(__xludf.DUMMYFUNCTION("INDEX(SPLIT(E8, char(10)), 0, 1)/86400+date(1970,1,1)"),44007.72280092593)</f>
        <v>44007.7228</v>
      </c>
      <c r="G8" s="86" t="s">
        <v>598</v>
      </c>
      <c r="H8" s="86" t="s">
        <v>599</v>
      </c>
      <c r="I8" s="40" t="s">
        <v>16</v>
      </c>
    </row>
    <row r="9">
      <c r="A9" s="71"/>
      <c r="B9" s="40" t="s">
        <v>47</v>
      </c>
      <c r="C9" s="57">
        <f>SUM(C6:C7)</f>
        <v>29</v>
      </c>
      <c r="D9" s="14">
        <f>SUM(D5:D6) + D2</f>
        <v>0.85</v>
      </c>
      <c r="E9" s="89">
        <v>1.59310578E9</v>
      </c>
      <c r="F9" s="66">
        <f>IFERROR(__xludf.DUMMYFUNCTION("INDEX(SPLIT(E9, char(10)), 0, 1)/86400+date(1970,1,1)"),44007.72430555556)</f>
        <v>44007.72431</v>
      </c>
      <c r="G9" s="86" t="s">
        <v>600</v>
      </c>
      <c r="H9" s="86" t="s">
        <v>601</v>
      </c>
      <c r="I9" s="40" t="s">
        <v>17</v>
      </c>
    </row>
    <row r="10">
      <c r="A10" s="71"/>
      <c r="B10" s="71"/>
      <c r="C10" s="71"/>
      <c r="D10" s="71"/>
      <c r="E10" s="89">
        <v>1.593105971E9</v>
      </c>
      <c r="F10" s="66">
        <f>IFERROR(__xludf.DUMMYFUNCTION("INDEX(SPLIT(E10, char(10)), 0, 1)/86400+date(1970,1,1)"),44007.72651620371)</f>
        <v>44007.72652</v>
      </c>
      <c r="G10" s="86" t="s">
        <v>602</v>
      </c>
      <c r="H10" s="86" t="s">
        <v>603</v>
      </c>
      <c r="I10" s="40" t="s">
        <v>17</v>
      </c>
    </row>
    <row r="11">
      <c r="A11" s="71"/>
      <c r="B11" s="71"/>
      <c r="C11" s="71"/>
      <c r="D11" s="71"/>
      <c r="E11" s="89">
        <v>1.59310736E9</v>
      </c>
      <c r="F11" s="66">
        <f>IFERROR(__xludf.DUMMYFUNCTION("INDEX(SPLIT(E11, char(10)), 0, 1)/86400+date(1970,1,1)"),44007.74259259259)</f>
        <v>44007.74259</v>
      </c>
      <c r="G11" s="86" t="s">
        <v>446</v>
      </c>
      <c r="H11" s="86" t="s">
        <v>604</v>
      </c>
      <c r="I11" s="40" t="s">
        <v>16</v>
      </c>
    </row>
    <row r="12">
      <c r="A12" s="72" t="s">
        <v>121</v>
      </c>
      <c r="B12" s="73" t="s">
        <v>605</v>
      </c>
      <c r="C12" s="74"/>
      <c r="D12" s="74"/>
      <c r="E12" s="89">
        <v>1.593108262E9</v>
      </c>
      <c r="F12" s="66">
        <f>IFERROR(__xludf.DUMMYFUNCTION("INDEX(SPLIT(E12, char(10)), 0, 1)/86400+date(1970,1,1)"),44007.7530324074)</f>
        <v>44007.75303</v>
      </c>
      <c r="G12" s="86" t="s">
        <v>606</v>
      </c>
      <c r="H12" s="86" t="s">
        <v>607</v>
      </c>
      <c r="I12" s="40" t="s">
        <v>16</v>
      </c>
    </row>
    <row r="13">
      <c r="A13" s="72" t="s">
        <v>125</v>
      </c>
      <c r="B13" s="74"/>
      <c r="C13" s="72" t="s">
        <v>89</v>
      </c>
      <c r="D13" s="72" t="s">
        <v>90</v>
      </c>
      <c r="E13" s="89">
        <v>1.593108436E9</v>
      </c>
      <c r="F13" s="66">
        <f>IFERROR(__xludf.DUMMYFUNCTION("INDEX(SPLIT(E13, char(10)), 0, 1)/86400+date(1970,1,1)"),44007.7550462963)</f>
        <v>44007.75505</v>
      </c>
      <c r="G13" s="86" t="s">
        <v>608</v>
      </c>
      <c r="H13" s="86" t="s">
        <v>609</v>
      </c>
      <c r="I13" s="40" t="s">
        <v>17</v>
      </c>
    </row>
    <row r="14">
      <c r="A14" s="5" t="s">
        <v>128</v>
      </c>
      <c r="B14" s="5" t="s">
        <v>129</v>
      </c>
      <c r="C14" s="75">
        <f t="shared" ref="C14:C17" si="5">COUNTIF($A$19:$A1000, A14)</f>
        <v>3</v>
      </c>
      <c r="D14" s="76">
        <f>IFERROR(__xludf.DUMMYFUNCTION("IF(C14, COUNTIF(FILTER($D$19:$D1000, $A$19:$A1000=A14), TRUE)/C14, 0)"),1.0)</f>
        <v>1</v>
      </c>
      <c r="E14" s="89">
        <v>1.593108921E9</v>
      </c>
      <c r="F14" s="66">
        <f>IFERROR(__xludf.DUMMYFUNCTION("INDEX(SPLIT(E14, char(10)), 0, 1)/86400+date(1970,1,1)"),44007.76065972222)</f>
        <v>44007.76066</v>
      </c>
      <c r="G14" s="86" t="s">
        <v>610</v>
      </c>
      <c r="H14" s="86" t="s">
        <v>611</v>
      </c>
      <c r="I14" s="40" t="s">
        <v>17</v>
      </c>
    </row>
    <row r="15">
      <c r="A15" s="5" t="s">
        <v>6</v>
      </c>
      <c r="B15" s="5" t="s">
        <v>132</v>
      </c>
      <c r="C15" s="75">
        <f t="shared" si="5"/>
        <v>3</v>
      </c>
      <c r="D15" s="76">
        <f>IFERROR(__xludf.DUMMYFUNCTION("IF(C15, COUNTIF(FILTER($D$19:$D1000, $A$19:$A1000=A15), TRUE)/C15, 0)"),0.6666666666666666)</f>
        <v>0.6666666667</v>
      </c>
      <c r="E15" s="89">
        <v>1.593109358E9</v>
      </c>
      <c r="F15" s="66">
        <f>IFERROR(__xludf.DUMMYFUNCTION("INDEX(SPLIT(E15, char(10)), 0, 1)/86400+date(1970,1,1)"),44007.76571759259)</f>
        <v>44007.76572</v>
      </c>
      <c r="G15" s="86" t="s">
        <v>612</v>
      </c>
      <c r="H15" s="86" t="s">
        <v>613</v>
      </c>
      <c r="I15" s="40" t="s">
        <v>16</v>
      </c>
    </row>
    <row r="16">
      <c r="A16" s="5" t="s">
        <v>7</v>
      </c>
      <c r="B16" s="5" t="s">
        <v>135</v>
      </c>
      <c r="C16" s="75">
        <f t="shared" si="5"/>
        <v>4</v>
      </c>
      <c r="D16" s="76">
        <f>IFERROR(__xludf.DUMMYFUNCTION("IF(C16, COUNTIF(FILTER($D$19:$D1000, $A$19:$A1000=A16), TRUE)/C16, 0)"),0.75)</f>
        <v>0.75</v>
      </c>
      <c r="E16" s="89">
        <v>1.593110306E9</v>
      </c>
      <c r="F16" s="66">
        <f>IFERROR(__xludf.DUMMYFUNCTION("INDEX(SPLIT(E16, char(10)), 0, 1)/86400+date(1970,1,1)"),44007.77668981481)</f>
        <v>44007.77669</v>
      </c>
      <c r="G16" s="86" t="s">
        <v>614</v>
      </c>
      <c r="H16" s="86" t="s">
        <v>615</v>
      </c>
      <c r="I16" s="40" t="s">
        <v>17</v>
      </c>
    </row>
    <row r="17">
      <c r="A17" s="5" t="s">
        <v>8</v>
      </c>
      <c r="B17" s="5" t="s">
        <v>79</v>
      </c>
      <c r="C17" s="75">
        <f t="shared" si="5"/>
        <v>8</v>
      </c>
      <c r="D17" s="76">
        <f>IFERROR(__xludf.DUMMYFUNCTION("IF(C17, COUNTIF(FILTER($D$19:$D1000, $A$19:$A1000=A17), TRUE)/C17, 0)"),0.25)</f>
        <v>0.25</v>
      </c>
      <c r="E17" s="89">
        <v>1.593110731E9</v>
      </c>
      <c r="F17" s="66">
        <f>IFERROR(__xludf.DUMMYFUNCTION("INDEX(SPLIT(E17, char(10)), 0, 1)/86400+date(1970,1,1)"),44007.7816087963)</f>
        <v>44007.78161</v>
      </c>
      <c r="G17" s="86" t="s">
        <v>616</v>
      </c>
      <c r="H17" s="86" t="s">
        <v>617</v>
      </c>
      <c r="I17" s="40" t="s">
        <v>16</v>
      </c>
    </row>
    <row r="18">
      <c r="A18" s="74"/>
      <c r="B18" s="72" t="s">
        <v>9</v>
      </c>
      <c r="C18" s="75">
        <f>SUM(C14:C17)</f>
        <v>18</v>
      </c>
      <c r="D18" s="76">
        <f>COUNTIF($D$19:$D1000, TRUE)/SUM($C$14:$C$17)</f>
        <v>0.5555555556</v>
      </c>
      <c r="E18" s="89">
        <v>1.593110821E9</v>
      </c>
      <c r="F18" s="66">
        <f>IFERROR(__xludf.DUMMYFUNCTION("INDEX(SPLIT(E18, char(10)), 0, 1)/86400+date(1970,1,1)"),44007.78265046296)</f>
        <v>44007.78265</v>
      </c>
      <c r="G18" s="86" t="s">
        <v>618</v>
      </c>
      <c r="H18" s="86" t="s">
        <v>619</v>
      </c>
      <c r="I18" s="40" t="s">
        <v>17</v>
      </c>
    </row>
    <row r="19">
      <c r="A19" s="77" t="s">
        <v>7</v>
      </c>
      <c r="B19" s="77" t="s">
        <v>147</v>
      </c>
      <c r="C19" s="78">
        <v>1.0</v>
      </c>
      <c r="D19" s="80" t="b">
        <v>0</v>
      </c>
      <c r="E19" s="89">
        <v>1.593110945E9</v>
      </c>
      <c r="F19" s="66">
        <f>IFERROR(__xludf.DUMMYFUNCTION("INDEX(SPLIT(E19, char(10)), 0, 1)/86400+date(1970,1,1)"),44007.78408564815)</f>
        <v>44007.78409</v>
      </c>
      <c r="G19" s="86" t="s">
        <v>620</v>
      </c>
      <c r="H19" s="86" t="s">
        <v>621</v>
      </c>
      <c r="I19" s="40" t="s">
        <v>14</v>
      </c>
    </row>
    <row r="20">
      <c r="A20" s="77" t="s">
        <v>128</v>
      </c>
      <c r="B20" s="77" t="s">
        <v>542</v>
      </c>
      <c r="C20" s="78">
        <v>8.0</v>
      </c>
      <c r="D20" s="80" t="b">
        <v>1</v>
      </c>
      <c r="E20" s="89">
        <v>1.593111105E9</v>
      </c>
      <c r="F20" s="66">
        <f>IFERROR(__xludf.DUMMYFUNCTION("INDEX(SPLIT(E20, char(10)), 0, 1)/86400+date(1970,1,1)"),44007.7859375)</f>
        <v>44007.78594</v>
      </c>
      <c r="G20" s="86" t="s">
        <v>622</v>
      </c>
      <c r="H20" s="86" t="s">
        <v>623</v>
      </c>
      <c r="I20" s="40" t="s">
        <v>16</v>
      </c>
    </row>
    <row r="21">
      <c r="A21" s="77" t="s">
        <v>6</v>
      </c>
      <c r="B21" s="77" t="s">
        <v>545</v>
      </c>
      <c r="C21" s="78">
        <v>11.0</v>
      </c>
      <c r="D21" s="80" t="b">
        <v>1</v>
      </c>
      <c r="E21" s="89">
        <v>1.593111335E9</v>
      </c>
      <c r="F21" s="66">
        <f>IFERROR(__xludf.DUMMYFUNCTION("INDEX(SPLIT(E21, char(10)), 0, 1)/86400+date(1970,1,1)"),44007.78859953704)</f>
        <v>44007.7886</v>
      </c>
      <c r="G21" s="86" t="s">
        <v>624</v>
      </c>
      <c r="H21" s="86" t="s">
        <v>625</v>
      </c>
      <c r="I21" s="40" t="s">
        <v>17</v>
      </c>
    </row>
    <row r="22">
      <c r="A22" s="77" t="s">
        <v>128</v>
      </c>
      <c r="B22" s="77" t="s">
        <v>548</v>
      </c>
      <c r="C22" s="78">
        <v>20.0</v>
      </c>
      <c r="D22" s="80" t="b">
        <v>1</v>
      </c>
      <c r="F22" s="66"/>
      <c r="G22" s="86"/>
      <c r="H22" s="86"/>
      <c r="I22" s="41"/>
    </row>
    <row r="23">
      <c r="A23" s="77" t="s">
        <v>7</v>
      </c>
      <c r="B23" s="77" t="s">
        <v>153</v>
      </c>
      <c r="C23" s="78">
        <v>45.0</v>
      </c>
      <c r="D23" s="80" t="b">
        <v>1</v>
      </c>
      <c r="F23" s="66"/>
      <c r="G23" s="86"/>
      <c r="H23" s="86"/>
      <c r="I23" s="41"/>
    </row>
    <row r="24">
      <c r="A24" s="5" t="s">
        <v>7</v>
      </c>
      <c r="B24" s="5" t="s">
        <v>156</v>
      </c>
      <c r="C24" s="78">
        <v>45.0</v>
      </c>
      <c r="D24" s="80" t="b">
        <v>1</v>
      </c>
      <c r="F24" s="66"/>
      <c r="G24" s="86"/>
      <c r="H24" s="86"/>
      <c r="I24" s="41"/>
    </row>
    <row r="25">
      <c r="A25" s="77" t="s">
        <v>8</v>
      </c>
      <c r="B25" s="74" t="s">
        <v>555</v>
      </c>
      <c r="C25" s="78">
        <v>46.0</v>
      </c>
      <c r="D25" s="80" t="b">
        <v>1</v>
      </c>
      <c r="F25" s="66"/>
      <c r="G25" s="86"/>
      <c r="H25" s="86"/>
      <c r="I25" s="41"/>
    </row>
    <row r="26">
      <c r="A26" s="77" t="s">
        <v>8</v>
      </c>
      <c r="B26" s="74" t="s">
        <v>557</v>
      </c>
      <c r="C26" s="78">
        <v>46.0</v>
      </c>
      <c r="D26" s="80" t="b">
        <v>0</v>
      </c>
      <c r="F26" s="66"/>
      <c r="G26" s="86"/>
      <c r="H26" s="86"/>
      <c r="I26" s="41"/>
    </row>
    <row r="27">
      <c r="A27" s="77" t="s">
        <v>6</v>
      </c>
      <c r="B27" s="74" t="s">
        <v>560</v>
      </c>
      <c r="C27" s="78">
        <v>47.0</v>
      </c>
      <c r="D27" s="80" t="b">
        <v>0</v>
      </c>
      <c r="F27" s="66"/>
      <c r="G27" s="86"/>
      <c r="H27" s="86"/>
      <c r="I27" s="41"/>
    </row>
    <row r="28">
      <c r="A28" s="77" t="s">
        <v>8</v>
      </c>
      <c r="B28" s="74" t="s">
        <v>563</v>
      </c>
      <c r="C28" s="78">
        <v>64.0</v>
      </c>
      <c r="D28" s="80" t="b">
        <v>1</v>
      </c>
      <c r="F28" s="66"/>
      <c r="G28" s="86"/>
      <c r="H28" s="86"/>
      <c r="I28" s="41"/>
    </row>
    <row r="29">
      <c r="A29" s="77" t="s">
        <v>8</v>
      </c>
      <c r="B29" s="74" t="s">
        <v>566</v>
      </c>
      <c r="C29" s="78">
        <v>70.0</v>
      </c>
      <c r="D29" s="80" t="b">
        <v>0</v>
      </c>
      <c r="F29" s="66"/>
      <c r="G29" s="86"/>
      <c r="H29" s="86"/>
      <c r="I29" s="41"/>
    </row>
    <row r="30">
      <c r="A30" s="77" t="s">
        <v>8</v>
      </c>
      <c r="B30" s="74" t="s">
        <v>569</v>
      </c>
      <c r="C30" s="78">
        <v>79.0</v>
      </c>
      <c r="D30" s="80" t="b">
        <v>0</v>
      </c>
      <c r="F30" s="66"/>
      <c r="G30" s="86"/>
      <c r="H30" s="86"/>
      <c r="I30" s="41"/>
    </row>
    <row r="31">
      <c r="A31" s="77" t="s">
        <v>8</v>
      </c>
      <c r="B31" s="74" t="s">
        <v>572</v>
      </c>
      <c r="C31" s="78">
        <v>80.0</v>
      </c>
      <c r="D31" s="80" t="b">
        <v>0</v>
      </c>
      <c r="F31" s="66"/>
      <c r="G31" s="86"/>
      <c r="H31" s="86"/>
      <c r="I31" s="41"/>
    </row>
    <row r="32">
      <c r="A32" s="77" t="s">
        <v>6</v>
      </c>
      <c r="B32" s="74" t="s">
        <v>575</v>
      </c>
      <c r="C32" s="78">
        <v>85.0</v>
      </c>
      <c r="D32" s="80" t="b">
        <v>1</v>
      </c>
      <c r="F32" s="66"/>
      <c r="G32" s="86"/>
      <c r="H32" s="86"/>
      <c r="I32" s="41"/>
    </row>
    <row r="33">
      <c r="A33" s="77" t="s">
        <v>128</v>
      </c>
      <c r="B33" s="74" t="s">
        <v>578</v>
      </c>
      <c r="C33" s="78">
        <v>86.0</v>
      </c>
      <c r="D33" s="80" t="b">
        <v>1</v>
      </c>
      <c r="F33" s="66"/>
      <c r="G33" s="86"/>
      <c r="H33" s="86"/>
      <c r="I33" s="41"/>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24 H27:H48 H50:H115">
    <cfRule type="expression" dxfId="0" priority="1">
      <formula>I2="Topic"</formula>
    </cfRule>
  </conditionalFormatting>
  <conditionalFormatting sqref="H2:H24 H27: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1.593104932E9</v>
      </c>
      <c r="F2" s="66">
        <f>IFERROR(__xludf.DUMMYFUNCTION("INDEX(SPLIT(E2, char(10)), 0, 1)/86400+date(1970,1,1)"),44007.71449074074)</f>
        <v>44007.71449</v>
      </c>
      <c r="G2" s="86" t="s">
        <v>626</v>
      </c>
      <c r="H2" s="86" t="s">
        <v>627</v>
      </c>
      <c r="I2" s="40" t="s">
        <v>16</v>
      </c>
      <c r="J2" s="40"/>
    </row>
    <row r="3">
      <c r="A3" s="40" t="s">
        <v>14</v>
      </c>
      <c r="B3" s="40" t="s">
        <v>99</v>
      </c>
      <c r="C3" s="40">
        <f t="shared" si="1"/>
        <v>2</v>
      </c>
      <c r="D3" s="64">
        <f t="shared" si="2"/>
        <v>0.0625</v>
      </c>
      <c r="E3" s="89">
        <v>1.593105059E9</v>
      </c>
      <c r="F3" s="66">
        <f>IFERROR(__xludf.DUMMYFUNCTION("INDEX(SPLIT(E3, char(10)), 0, 1)/86400+date(1970,1,1)"),44007.715960648144)</f>
        <v>44007.71596</v>
      </c>
      <c r="G3" s="86" t="s">
        <v>628</v>
      </c>
      <c r="H3" s="86" t="s">
        <v>629</v>
      </c>
      <c r="I3" s="40" t="s">
        <v>16</v>
      </c>
      <c r="J3" s="40"/>
    </row>
    <row r="4">
      <c r="A4" s="40" t="s">
        <v>15</v>
      </c>
      <c r="B4" s="40" t="s">
        <v>102</v>
      </c>
      <c r="C4" s="40">
        <f t="shared" si="1"/>
        <v>6</v>
      </c>
      <c r="D4" s="64">
        <f t="shared" si="2"/>
        <v>0.1875</v>
      </c>
      <c r="E4" s="89">
        <v>1.59310516E9</v>
      </c>
      <c r="F4" s="66">
        <f>IFERROR(__xludf.DUMMYFUNCTION("INDEX(SPLIT(E4, char(10)), 0, 1)/86400+date(1970,1,1)"),44007.71712962963)</f>
        <v>44007.71713</v>
      </c>
      <c r="G4" s="86" t="s">
        <v>630</v>
      </c>
      <c r="H4" s="86" t="s">
        <v>631</v>
      </c>
      <c r="I4" s="40" t="s">
        <v>15</v>
      </c>
      <c r="J4" s="40"/>
    </row>
    <row r="5">
      <c r="A5" s="40" t="s">
        <v>16</v>
      </c>
      <c r="B5" s="40" t="s">
        <v>105</v>
      </c>
      <c r="C5" s="40">
        <f t="shared" si="1"/>
        <v>11</v>
      </c>
      <c r="D5" s="64">
        <f t="shared" si="2"/>
        <v>0.34375</v>
      </c>
      <c r="E5" s="89">
        <v>1.59310533E9</v>
      </c>
      <c r="F5" s="66">
        <f>IFERROR(__xludf.DUMMYFUNCTION("INDEX(SPLIT(E5, char(10)), 0, 1)/86400+date(1970,1,1)"),44007.71909722222)</f>
        <v>44007.7191</v>
      </c>
      <c r="G5" s="86" t="s">
        <v>632</v>
      </c>
      <c r="H5" s="86" t="s">
        <v>633</v>
      </c>
      <c r="I5" s="40" t="s">
        <v>17</v>
      </c>
      <c r="J5" s="40"/>
    </row>
    <row r="6">
      <c r="A6" s="40" t="s">
        <v>17</v>
      </c>
      <c r="B6" s="40" t="s">
        <v>108</v>
      </c>
      <c r="C6" s="40">
        <f t="shared" si="1"/>
        <v>13</v>
      </c>
      <c r="D6" s="64">
        <f t="shared" si="2"/>
        <v>0.40625</v>
      </c>
      <c r="E6" s="89">
        <v>1.593105535E9</v>
      </c>
      <c r="F6" s="66">
        <f>IFERROR(__xludf.DUMMYFUNCTION("INDEX(SPLIT(E6, char(10)), 0, 1)/86400+date(1970,1,1)"),44007.72146990741)</f>
        <v>44007.72147</v>
      </c>
      <c r="G6" s="86" t="s">
        <v>634</v>
      </c>
      <c r="H6" s="86" t="s">
        <v>635</v>
      </c>
      <c r="I6" s="40" t="s">
        <v>17</v>
      </c>
    </row>
    <row r="7">
      <c r="B7" s="40" t="s">
        <v>13</v>
      </c>
      <c r="C7" s="69">
        <f t="shared" ref="C7:D7" si="3">SUM(C2:C6)</f>
        <v>32</v>
      </c>
      <c r="D7" s="70">
        <f t="shared" si="3"/>
        <v>1</v>
      </c>
      <c r="E7" s="89">
        <v>1.593105643E9</v>
      </c>
      <c r="F7" s="66">
        <f>IFERROR(__xludf.DUMMYFUNCTION("INDEX(SPLIT(E7, char(10)), 0, 1)/86400+date(1970,1,1)"),44007.72271990741)</f>
        <v>44007.72272</v>
      </c>
      <c r="G7" s="86" t="s">
        <v>636</v>
      </c>
      <c r="H7" s="86" t="s">
        <v>637</v>
      </c>
      <c r="I7" s="40" t="s">
        <v>16</v>
      </c>
    </row>
    <row r="8">
      <c r="A8" s="71"/>
      <c r="B8" s="40" t="s">
        <v>18</v>
      </c>
      <c r="C8" s="57">
        <f t="shared" ref="C8:D8" si="4">SUM(C5:C6)</f>
        <v>24</v>
      </c>
      <c r="D8" s="14">
        <f t="shared" si="4"/>
        <v>0.75</v>
      </c>
      <c r="E8" s="89">
        <v>1.593105887E9</v>
      </c>
      <c r="F8" s="66">
        <f>IFERROR(__xludf.DUMMYFUNCTION("INDEX(SPLIT(E8, char(10)), 0, 1)/86400+date(1970,1,1)"),44007.725543981476)</f>
        <v>44007.72554</v>
      </c>
      <c r="G8" s="86" t="s">
        <v>638</v>
      </c>
      <c r="H8" s="86" t="s">
        <v>639</v>
      </c>
      <c r="I8" s="40" t="s">
        <v>15</v>
      </c>
    </row>
    <row r="9">
      <c r="A9" s="71"/>
      <c r="B9" s="40" t="s">
        <v>47</v>
      </c>
      <c r="C9" s="57">
        <f>SUM(C6:C7)</f>
        <v>45</v>
      </c>
      <c r="D9" s="14">
        <f>SUM(D5:D6) + D2</f>
        <v>0.75</v>
      </c>
      <c r="E9" s="89">
        <v>1.593105998E9</v>
      </c>
      <c r="F9" s="66">
        <f>IFERROR(__xludf.DUMMYFUNCTION("INDEX(SPLIT(E9, char(10)), 0, 1)/86400+date(1970,1,1)"),44007.7268287037)</f>
        <v>44007.72683</v>
      </c>
      <c r="G9" s="86" t="s">
        <v>640</v>
      </c>
      <c r="H9" s="86" t="s">
        <v>641</v>
      </c>
      <c r="I9" s="40" t="s">
        <v>17</v>
      </c>
    </row>
    <row r="10">
      <c r="A10" s="71"/>
      <c r="B10" s="71"/>
      <c r="C10" s="71"/>
      <c r="D10" s="71"/>
      <c r="E10" s="89">
        <v>1.593106091E9</v>
      </c>
      <c r="F10" s="66">
        <f>IFERROR(__xludf.DUMMYFUNCTION("INDEX(SPLIT(E10, char(10)), 0, 1)/86400+date(1970,1,1)"),44007.72790509259)</f>
        <v>44007.72791</v>
      </c>
      <c r="G10" s="86" t="s">
        <v>610</v>
      </c>
      <c r="H10" s="86" t="s">
        <v>642</v>
      </c>
      <c r="I10" s="40" t="s">
        <v>17</v>
      </c>
    </row>
    <row r="11">
      <c r="A11" s="71"/>
      <c r="B11" s="71"/>
      <c r="C11" s="71"/>
      <c r="D11" s="71"/>
      <c r="E11" s="89">
        <v>1.593106248E9</v>
      </c>
      <c r="F11" s="66">
        <f>IFERROR(__xludf.DUMMYFUNCTION("INDEX(SPLIT(E11, char(10)), 0, 1)/86400+date(1970,1,1)"),44007.729722222226)</f>
        <v>44007.72972</v>
      </c>
      <c r="G11" s="86" t="s">
        <v>643</v>
      </c>
      <c r="H11" s="86" t="s">
        <v>644</v>
      </c>
      <c r="I11" s="40" t="s">
        <v>15</v>
      </c>
    </row>
    <row r="12">
      <c r="A12" s="72" t="s">
        <v>121</v>
      </c>
      <c r="B12" s="73" t="s">
        <v>645</v>
      </c>
      <c r="C12" s="74"/>
      <c r="D12" s="74"/>
      <c r="E12" s="89">
        <v>1.593106507E9</v>
      </c>
      <c r="F12" s="66">
        <f>IFERROR(__xludf.DUMMYFUNCTION("INDEX(SPLIT(E12, char(10)), 0, 1)/86400+date(1970,1,1)"),44007.732719907406)</f>
        <v>44007.73272</v>
      </c>
      <c r="G12" s="86" t="s">
        <v>646</v>
      </c>
      <c r="H12" s="86" t="s">
        <v>647</v>
      </c>
      <c r="I12" s="40" t="s">
        <v>15</v>
      </c>
    </row>
    <row r="13">
      <c r="A13" s="72" t="s">
        <v>125</v>
      </c>
      <c r="B13" s="74"/>
      <c r="C13" s="72" t="s">
        <v>89</v>
      </c>
      <c r="D13" s="72" t="s">
        <v>90</v>
      </c>
      <c r="E13" s="89">
        <v>1.593106826E9</v>
      </c>
      <c r="F13" s="66">
        <f>IFERROR(__xludf.DUMMYFUNCTION("INDEX(SPLIT(E13, char(10)), 0, 1)/86400+date(1970,1,1)"),44007.73641203703)</f>
        <v>44007.73641</v>
      </c>
      <c r="G13" s="86" t="s">
        <v>648</v>
      </c>
      <c r="H13" s="86" t="s">
        <v>649</v>
      </c>
      <c r="I13" s="40" t="s">
        <v>15</v>
      </c>
    </row>
    <row r="14">
      <c r="A14" s="5" t="s">
        <v>128</v>
      </c>
      <c r="B14" s="5" t="s">
        <v>129</v>
      </c>
      <c r="C14" s="75">
        <f t="shared" ref="C14:C17" si="5">COUNTIF($A$19:$A1000, A14)</f>
        <v>3</v>
      </c>
      <c r="D14" s="76">
        <f>IFERROR(__xludf.DUMMYFUNCTION("IF(C14, COUNTIF(FILTER($D$19:$D1000, $A$19:$A1000=A14), TRUE)/C14, 0)"),1.0)</f>
        <v>1</v>
      </c>
      <c r="E14" s="89">
        <v>1.593107122E9</v>
      </c>
      <c r="F14" s="66">
        <f>IFERROR(__xludf.DUMMYFUNCTION("INDEX(SPLIT(E14, char(10)), 0, 1)/86400+date(1970,1,1)"),44007.73983796296)</f>
        <v>44007.73984</v>
      </c>
      <c r="G14" s="86" t="s">
        <v>446</v>
      </c>
      <c r="H14" s="86" t="s">
        <v>650</v>
      </c>
      <c r="I14" s="40" t="s">
        <v>16</v>
      </c>
    </row>
    <row r="15">
      <c r="A15" s="5" t="s">
        <v>6</v>
      </c>
      <c r="B15" s="5" t="s">
        <v>132</v>
      </c>
      <c r="C15" s="75">
        <f t="shared" si="5"/>
        <v>3</v>
      </c>
      <c r="D15" s="76">
        <f>IFERROR(__xludf.DUMMYFUNCTION("IF(C15, COUNTIF(FILTER($D$19:$D1000, $A$19:$A1000=A15), TRUE)/C15, 0)"),1.0)</f>
        <v>1</v>
      </c>
      <c r="E15" s="89">
        <v>1.593107289E9</v>
      </c>
      <c r="F15" s="66">
        <f>IFERROR(__xludf.DUMMYFUNCTION("INDEX(SPLIT(E15, char(10)), 0, 1)/86400+date(1970,1,1)"),44007.74177083334)</f>
        <v>44007.74177</v>
      </c>
      <c r="G15" s="86" t="s">
        <v>651</v>
      </c>
      <c r="H15" s="86" t="s">
        <v>652</v>
      </c>
      <c r="I15" s="40" t="s">
        <v>17</v>
      </c>
    </row>
    <row r="16">
      <c r="A16" s="5" t="s">
        <v>7</v>
      </c>
      <c r="B16" s="5" t="s">
        <v>135</v>
      </c>
      <c r="C16" s="75">
        <f t="shared" si="5"/>
        <v>4</v>
      </c>
      <c r="D16" s="76">
        <f>IFERROR(__xludf.DUMMYFUNCTION("IF(C16, COUNTIF(FILTER($D$19:$D1000, $A$19:$A1000=A16), TRUE)/C16, 0)"),0.75)</f>
        <v>0.75</v>
      </c>
      <c r="E16" s="89">
        <v>1.593107489E9</v>
      </c>
      <c r="F16" s="66">
        <f>IFERROR(__xludf.DUMMYFUNCTION("INDEX(SPLIT(E16, char(10)), 0, 1)/86400+date(1970,1,1)"),44007.74408564815)</f>
        <v>44007.74409</v>
      </c>
      <c r="G16" s="86" t="s">
        <v>653</v>
      </c>
      <c r="H16" s="86" t="s">
        <v>654</v>
      </c>
      <c r="I16" s="40" t="s">
        <v>17</v>
      </c>
    </row>
    <row r="17">
      <c r="A17" s="5" t="s">
        <v>8</v>
      </c>
      <c r="B17" s="5" t="s">
        <v>79</v>
      </c>
      <c r="C17" s="75">
        <f t="shared" si="5"/>
        <v>8</v>
      </c>
      <c r="D17" s="76">
        <f>IFERROR(__xludf.DUMMYFUNCTION("IF(C17, COUNTIF(FILTER($D$19:$D1000, $A$19:$A1000=A17), TRUE)/C17, 0)"),0.375)</f>
        <v>0.375</v>
      </c>
      <c r="E17" s="89">
        <v>1.593107662E9</v>
      </c>
      <c r="F17" s="66">
        <f>IFERROR(__xludf.DUMMYFUNCTION("INDEX(SPLIT(E17, char(10)), 0, 1)/86400+date(1970,1,1)"),44007.746087962965)</f>
        <v>44007.74609</v>
      </c>
      <c r="G17" s="86" t="s">
        <v>655</v>
      </c>
      <c r="H17" s="86" t="s">
        <v>656</v>
      </c>
      <c r="I17" s="40" t="s">
        <v>15</v>
      </c>
    </row>
    <row r="18">
      <c r="A18" s="74"/>
      <c r="B18" s="72" t="s">
        <v>9</v>
      </c>
      <c r="C18" s="75">
        <f>SUM(C14:C17)</f>
        <v>18</v>
      </c>
      <c r="D18" s="76">
        <f>COUNTIF($D$19:$D1000, TRUE)/SUM($C$14:$C$17)</f>
        <v>0.6666666667</v>
      </c>
      <c r="E18" s="89">
        <v>1.593108286E9</v>
      </c>
      <c r="F18" s="66">
        <f>IFERROR(__xludf.DUMMYFUNCTION("INDEX(SPLIT(E18, char(10)), 0, 1)/86400+date(1970,1,1)"),44007.75331018519)</f>
        <v>44007.75331</v>
      </c>
      <c r="G18" s="86" t="s">
        <v>657</v>
      </c>
      <c r="H18" s="86" t="s">
        <v>658</v>
      </c>
      <c r="I18" s="40" t="s">
        <v>16</v>
      </c>
    </row>
    <row r="19">
      <c r="A19" s="77" t="s">
        <v>7</v>
      </c>
      <c r="B19" s="77" t="s">
        <v>147</v>
      </c>
      <c r="C19" s="78">
        <v>1.0</v>
      </c>
      <c r="D19" s="80" t="b">
        <v>0</v>
      </c>
      <c r="E19" s="89">
        <v>1.593108434E9</v>
      </c>
      <c r="F19" s="66">
        <f>IFERROR(__xludf.DUMMYFUNCTION("INDEX(SPLIT(E19, char(10)), 0, 1)/86400+date(1970,1,1)"),44007.755023148144)</f>
        <v>44007.75502</v>
      </c>
      <c r="G19" s="86" t="s">
        <v>659</v>
      </c>
      <c r="H19" s="86" t="s">
        <v>660</v>
      </c>
      <c r="I19" s="40" t="s">
        <v>16</v>
      </c>
    </row>
    <row r="20">
      <c r="A20" s="77" t="s">
        <v>128</v>
      </c>
      <c r="B20" s="77" t="s">
        <v>542</v>
      </c>
      <c r="C20" s="78">
        <v>8.0</v>
      </c>
      <c r="D20" s="80" t="b">
        <v>1</v>
      </c>
      <c r="E20" s="89">
        <v>1.593108844E9</v>
      </c>
      <c r="F20" s="66">
        <f>IFERROR(__xludf.DUMMYFUNCTION("INDEX(SPLIT(E20, char(10)), 0, 1)/86400+date(1970,1,1)"),44007.75976851852)</f>
        <v>44007.75977</v>
      </c>
      <c r="G20" s="86" t="s">
        <v>661</v>
      </c>
      <c r="H20" s="86" t="s">
        <v>662</v>
      </c>
      <c r="I20" s="40" t="s">
        <v>17</v>
      </c>
    </row>
    <row r="21">
      <c r="A21" s="77" t="s">
        <v>6</v>
      </c>
      <c r="B21" s="77" t="s">
        <v>545</v>
      </c>
      <c r="C21" s="78">
        <v>11.0</v>
      </c>
      <c r="D21" s="80" t="b">
        <v>1</v>
      </c>
      <c r="E21" s="89">
        <v>1.593109062E9</v>
      </c>
      <c r="F21" s="66">
        <f>IFERROR(__xludf.DUMMYFUNCTION("INDEX(SPLIT(E21, char(10)), 0, 1)/86400+date(1970,1,1)"),44007.762291666666)</f>
        <v>44007.76229</v>
      </c>
      <c r="G21" s="86" t="s">
        <v>663</v>
      </c>
      <c r="H21" s="86" t="s">
        <v>664</v>
      </c>
      <c r="I21" s="40" t="s">
        <v>17</v>
      </c>
    </row>
    <row r="22">
      <c r="A22" s="77" t="s">
        <v>128</v>
      </c>
      <c r="B22" s="77" t="s">
        <v>548</v>
      </c>
      <c r="C22" s="78">
        <v>20.0</v>
      </c>
      <c r="D22" s="80" t="b">
        <v>1</v>
      </c>
      <c r="E22" s="89">
        <v>1.593109319E9</v>
      </c>
      <c r="F22" s="66">
        <f>IFERROR(__xludf.DUMMYFUNCTION("INDEX(SPLIT(E22, char(10)), 0, 1)/86400+date(1970,1,1)"),44007.7652662037)</f>
        <v>44007.76527</v>
      </c>
      <c r="G22" s="86" t="s">
        <v>665</v>
      </c>
      <c r="H22" s="86" t="s">
        <v>666</v>
      </c>
      <c r="I22" s="40" t="s">
        <v>16</v>
      </c>
    </row>
    <row r="23">
      <c r="A23" s="77" t="s">
        <v>7</v>
      </c>
      <c r="B23" s="77" t="s">
        <v>153</v>
      </c>
      <c r="C23" s="78">
        <v>45.0</v>
      </c>
      <c r="D23" s="80" t="b">
        <v>1</v>
      </c>
      <c r="E23" s="89">
        <v>1.593109744E9</v>
      </c>
      <c r="F23" s="66">
        <f>IFERROR(__xludf.DUMMYFUNCTION("INDEX(SPLIT(E23, char(10)), 0, 1)/86400+date(1970,1,1)"),44007.77018518519)</f>
        <v>44007.77019</v>
      </c>
      <c r="G23" s="86" t="s">
        <v>667</v>
      </c>
      <c r="H23" s="86" t="s">
        <v>668</v>
      </c>
      <c r="I23" s="40" t="s">
        <v>17</v>
      </c>
    </row>
    <row r="24">
      <c r="A24" s="5" t="s">
        <v>7</v>
      </c>
      <c r="B24" s="5" t="s">
        <v>156</v>
      </c>
      <c r="C24" s="78">
        <v>45.0</v>
      </c>
      <c r="D24" s="80" t="b">
        <v>1</v>
      </c>
      <c r="E24" s="89">
        <v>1.59310989E9</v>
      </c>
      <c r="F24" s="66">
        <f>IFERROR(__xludf.DUMMYFUNCTION("INDEX(SPLIT(E24, char(10)), 0, 1)/86400+date(1970,1,1)"),44007.771875)</f>
        <v>44007.77188</v>
      </c>
      <c r="G24" s="86" t="s">
        <v>669</v>
      </c>
      <c r="H24" s="86" t="s">
        <v>670</v>
      </c>
      <c r="I24" s="40" t="s">
        <v>16</v>
      </c>
    </row>
    <row r="25">
      <c r="A25" s="77" t="s">
        <v>8</v>
      </c>
      <c r="B25" s="74" t="s">
        <v>555</v>
      </c>
      <c r="C25" s="78">
        <v>46.0</v>
      </c>
      <c r="D25" s="80" t="b">
        <v>1</v>
      </c>
      <c r="E25" s="89">
        <v>1.593110027E9</v>
      </c>
      <c r="F25" s="66">
        <f>IFERROR(__xludf.DUMMYFUNCTION("INDEX(SPLIT(E25, char(10)), 0, 1)/86400+date(1970,1,1)"),44007.77346064815)</f>
        <v>44007.77346</v>
      </c>
      <c r="G25" s="86" t="s">
        <v>671</v>
      </c>
      <c r="H25" s="86" t="s">
        <v>672</v>
      </c>
      <c r="I25" s="40" t="s">
        <v>17</v>
      </c>
    </row>
    <row r="26">
      <c r="A26" s="77" t="s">
        <v>8</v>
      </c>
      <c r="B26" s="74" t="s">
        <v>557</v>
      </c>
      <c r="C26" s="78">
        <v>46.0</v>
      </c>
      <c r="D26" s="80" t="b">
        <v>0</v>
      </c>
      <c r="E26" s="89">
        <v>1.593110207E9</v>
      </c>
      <c r="F26" s="66">
        <f>IFERROR(__xludf.DUMMYFUNCTION("INDEX(SPLIT(E26, char(10)), 0, 1)/86400+date(1970,1,1)"),44007.77554398148)</f>
        <v>44007.77554</v>
      </c>
      <c r="G26" s="86" t="s">
        <v>673</v>
      </c>
      <c r="H26" s="86" t="s">
        <v>674</v>
      </c>
      <c r="I26" s="40" t="s">
        <v>17</v>
      </c>
    </row>
    <row r="27">
      <c r="A27" s="77" t="s">
        <v>6</v>
      </c>
      <c r="B27" s="74" t="s">
        <v>560</v>
      </c>
      <c r="C27" s="78">
        <v>47.0</v>
      </c>
      <c r="D27" s="80" t="b">
        <v>1</v>
      </c>
      <c r="E27" s="89">
        <v>1.593110334E9</v>
      </c>
      <c r="F27" s="66">
        <f>IFERROR(__xludf.DUMMYFUNCTION("INDEX(SPLIT(E27, char(10)), 0, 1)/86400+date(1970,1,1)"),44007.77701388889)</f>
        <v>44007.77701</v>
      </c>
      <c r="G27" s="86" t="s">
        <v>675</v>
      </c>
      <c r="H27" s="86" t="s">
        <v>676</v>
      </c>
      <c r="I27" s="40" t="s">
        <v>14</v>
      </c>
    </row>
    <row r="28">
      <c r="A28" s="77" t="s">
        <v>8</v>
      </c>
      <c r="B28" s="74" t="s">
        <v>563</v>
      </c>
      <c r="C28" s="78">
        <v>64.0</v>
      </c>
      <c r="D28" s="80" t="b">
        <v>1</v>
      </c>
      <c r="E28" s="89">
        <v>1.593110529E9</v>
      </c>
      <c r="F28" s="66">
        <f>IFERROR(__xludf.DUMMYFUNCTION("INDEX(SPLIT(E28, char(10)), 0, 1)/86400+date(1970,1,1)"),44007.77927083333)</f>
        <v>44007.77927</v>
      </c>
      <c r="G28" s="86" t="s">
        <v>677</v>
      </c>
      <c r="H28" s="86" t="s">
        <v>678</v>
      </c>
      <c r="I28" s="40" t="s">
        <v>17</v>
      </c>
    </row>
    <row r="29">
      <c r="A29" s="77" t="s">
        <v>8</v>
      </c>
      <c r="B29" s="74" t="s">
        <v>566</v>
      </c>
      <c r="C29" s="78">
        <v>70.0</v>
      </c>
      <c r="D29" s="80" t="b">
        <v>1</v>
      </c>
      <c r="E29" s="89">
        <v>1.593110643E9</v>
      </c>
      <c r="F29" s="66">
        <f>IFERROR(__xludf.DUMMYFUNCTION("INDEX(SPLIT(E29, char(10)), 0, 1)/86400+date(1970,1,1)"),44007.780590277776)</f>
        <v>44007.78059</v>
      </c>
      <c r="G29" s="86" t="s">
        <v>679</v>
      </c>
      <c r="H29" s="86" t="s">
        <v>680</v>
      </c>
      <c r="I29" s="40" t="s">
        <v>16</v>
      </c>
    </row>
    <row r="30">
      <c r="A30" s="77" t="s">
        <v>8</v>
      </c>
      <c r="B30" s="74" t="s">
        <v>569</v>
      </c>
      <c r="C30" s="78">
        <v>79.0</v>
      </c>
      <c r="D30" s="80" t="b">
        <v>0</v>
      </c>
      <c r="E30" s="89">
        <v>1.593110747E9</v>
      </c>
      <c r="F30" s="66">
        <f>IFERROR(__xludf.DUMMYFUNCTION("INDEX(SPLIT(E30, char(10)), 0, 1)/86400+date(1970,1,1)"),44007.781793981485)</f>
        <v>44007.78179</v>
      </c>
      <c r="G30" s="86" t="s">
        <v>681</v>
      </c>
      <c r="H30" s="86" t="s">
        <v>682</v>
      </c>
      <c r="I30" s="40" t="s">
        <v>16</v>
      </c>
    </row>
    <row r="31">
      <c r="A31" s="77" t="s">
        <v>8</v>
      </c>
      <c r="B31" s="74" t="s">
        <v>572</v>
      </c>
      <c r="C31" s="78">
        <v>80.0</v>
      </c>
      <c r="D31" s="80" t="b">
        <v>0</v>
      </c>
      <c r="E31" s="89">
        <v>1.593110928E9</v>
      </c>
      <c r="F31" s="66">
        <f>IFERROR(__xludf.DUMMYFUNCTION("INDEX(SPLIT(E31, char(10)), 0, 1)/86400+date(1970,1,1)"),44007.78388888889)</f>
        <v>44007.78389</v>
      </c>
      <c r="G31" s="86" t="s">
        <v>683</v>
      </c>
      <c r="H31" s="86" t="s">
        <v>684</v>
      </c>
      <c r="I31" s="40" t="s">
        <v>14</v>
      </c>
    </row>
    <row r="32">
      <c r="A32" s="77" t="s">
        <v>6</v>
      </c>
      <c r="B32" s="74" t="s">
        <v>575</v>
      </c>
      <c r="C32" s="78">
        <v>85.0</v>
      </c>
      <c r="D32" s="80" t="b">
        <v>1</v>
      </c>
      <c r="E32" s="89">
        <v>1.593111342E9</v>
      </c>
      <c r="F32" s="66">
        <f>IFERROR(__xludf.DUMMYFUNCTION("INDEX(SPLIT(E32, char(10)), 0, 1)/86400+date(1970,1,1)"),44007.78868055556)</f>
        <v>44007.78868</v>
      </c>
      <c r="G32" s="86" t="s">
        <v>685</v>
      </c>
      <c r="H32" s="86" t="s">
        <v>686</v>
      </c>
      <c r="I32" s="40" t="s">
        <v>17</v>
      </c>
    </row>
    <row r="33">
      <c r="A33" s="77" t="s">
        <v>128</v>
      </c>
      <c r="B33" s="74" t="s">
        <v>578</v>
      </c>
      <c r="C33" s="78">
        <v>86.0</v>
      </c>
      <c r="D33" s="80" t="b">
        <v>1</v>
      </c>
      <c r="E33" s="89">
        <v>1.593111442E9</v>
      </c>
      <c r="F33" s="66">
        <f>IFERROR(__xludf.DUMMYFUNCTION("INDEX(SPLIT(E33, char(10)), 0, 1)/86400+date(1970,1,1)"),44007.78983796296)</f>
        <v>44007.78984</v>
      </c>
      <c r="G33" s="86" t="s">
        <v>446</v>
      </c>
      <c r="H33" s="86" t="s">
        <v>687</v>
      </c>
      <c r="I33" s="40" t="s">
        <v>16</v>
      </c>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0.04081632653</v>
      </c>
      <c r="E2" s="89">
        <v>1.59577563E9</v>
      </c>
      <c r="F2" s="66">
        <f>IFERROR(__xludf.DUMMYFUNCTION("INDEX(SPLIT(E2, char(10)), 0, 1)/86400+date(1970,1,1)"),44038.62534722222)</f>
        <v>44038.62535</v>
      </c>
      <c r="G2" s="86" t="s">
        <v>688</v>
      </c>
      <c r="H2" s="86" t="s">
        <v>689</v>
      </c>
      <c r="I2" s="40" t="s">
        <v>14</v>
      </c>
      <c r="J2" s="40"/>
    </row>
    <row r="3">
      <c r="A3" s="40" t="s">
        <v>14</v>
      </c>
      <c r="B3" s="40" t="s">
        <v>99</v>
      </c>
      <c r="C3" s="40">
        <f t="shared" si="1"/>
        <v>12</v>
      </c>
      <c r="D3" s="64">
        <f t="shared" si="2"/>
        <v>0.2448979592</v>
      </c>
      <c r="E3" s="89">
        <v>1.595775758E9</v>
      </c>
      <c r="F3" s="66">
        <f>IFERROR(__xludf.DUMMYFUNCTION("INDEX(SPLIT(E3, char(10)), 0, 1)/86400+date(1970,1,1)"),44038.6268287037)</f>
        <v>44038.62683</v>
      </c>
      <c r="G3" s="86" t="s">
        <v>690</v>
      </c>
      <c r="H3" s="86" t="s">
        <v>691</v>
      </c>
      <c r="I3" s="40" t="s">
        <v>17</v>
      </c>
      <c r="J3" s="40"/>
    </row>
    <row r="4">
      <c r="A4" s="40" t="s">
        <v>15</v>
      </c>
      <c r="B4" s="40" t="s">
        <v>102</v>
      </c>
      <c r="C4" s="40">
        <f t="shared" si="1"/>
        <v>6</v>
      </c>
      <c r="D4" s="64">
        <f t="shared" si="2"/>
        <v>0.1224489796</v>
      </c>
      <c r="E4" s="89">
        <v>1.595775961E9</v>
      </c>
      <c r="F4" s="66">
        <f>IFERROR(__xludf.DUMMYFUNCTION("INDEX(SPLIT(E4, char(10)), 0, 1)/86400+date(1970,1,1)"),44038.62917824074)</f>
        <v>44038.62918</v>
      </c>
      <c r="G4" s="86" t="s">
        <v>692</v>
      </c>
      <c r="H4" s="86" t="s">
        <v>693</v>
      </c>
      <c r="I4" s="40" t="s">
        <v>15</v>
      </c>
      <c r="J4" s="40"/>
    </row>
    <row r="5">
      <c r="A5" s="40" t="s">
        <v>16</v>
      </c>
      <c r="B5" s="40" t="s">
        <v>105</v>
      </c>
      <c r="C5" s="40">
        <f t="shared" si="1"/>
        <v>10</v>
      </c>
      <c r="D5" s="64">
        <f t="shared" si="2"/>
        <v>0.2040816327</v>
      </c>
      <c r="E5" s="89">
        <v>1.595776074E9</v>
      </c>
      <c r="F5" s="66">
        <f>IFERROR(__xludf.DUMMYFUNCTION("INDEX(SPLIT(E5, char(10)), 0, 1)/86400+date(1970,1,1)"),44038.63048611111)</f>
        <v>44038.63049</v>
      </c>
      <c r="G5" s="86" t="s">
        <v>694</v>
      </c>
      <c r="H5" s="86" t="s">
        <v>695</v>
      </c>
      <c r="I5" s="40" t="s">
        <v>14</v>
      </c>
      <c r="J5" s="40"/>
    </row>
    <row r="6">
      <c r="A6" s="40" t="s">
        <v>17</v>
      </c>
      <c r="B6" s="40" t="s">
        <v>108</v>
      </c>
      <c r="C6" s="40">
        <f t="shared" si="1"/>
        <v>19</v>
      </c>
      <c r="D6" s="64">
        <f t="shared" si="2"/>
        <v>0.387755102</v>
      </c>
      <c r="E6" s="89">
        <v>1.595776167E9</v>
      </c>
      <c r="F6" s="66">
        <f>IFERROR(__xludf.DUMMYFUNCTION("INDEX(SPLIT(E6, char(10)), 0, 1)/86400+date(1970,1,1)"),44038.6315625)</f>
        <v>44038.63156</v>
      </c>
      <c r="G6" s="86" t="s">
        <v>696</v>
      </c>
      <c r="H6" s="86" t="s">
        <v>697</v>
      </c>
      <c r="I6" s="40" t="s">
        <v>16</v>
      </c>
    </row>
    <row r="7">
      <c r="B7" s="40" t="s">
        <v>13</v>
      </c>
      <c r="C7" s="69">
        <f t="shared" ref="C7:D7" si="3">SUM(C2:C6)</f>
        <v>49</v>
      </c>
      <c r="D7" s="70">
        <f t="shared" si="3"/>
        <v>1</v>
      </c>
      <c r="E7" s="89">
        <v>1.595776264E9</v>
      </c>
      <c r="F7" s="66">
        <f>IFERROR(__xludf.DUMMYFUNCTION("INDEX(SPLIT(E7, char(10)), 0, 1)/86400+date(1970,1,1)"),44038.632685185185)</f>
        <v>44038.63269</v>
      </c>
      <c r="G7" s="86" t="s">
        <v>698</v>
      </c>
      <c r="H7" s="86" t="s">
        <v>699</v>
      </c>
      <c r="I7" s="40" t="s">
        <v>17</v>
      </c>
    </row>
    <row r="8">
      <c r="A8" s="71"/>
      <c r="B8" s="40" t="s">
        <v>18</v>
      </c>
      <c r="C8" s="57">
        <f t="shared" ref="C8:D8" si="4">SUM(C5:C6)</f>
        <v>29</v>
      </c>
      <c r="D8" s="14">
        <f t="shared" si="4"/>
        <v>0.5918367347</v>
      </c>
      <c r="E8" s="89">
        <v>1.595776479E9</v>
      </c>
      <c r="F8" s="66">
        <f>IFERROR(__xludf.DUMMYFUNCTION("INDEX(SPLIT(E8, char(10)), 0, 1)/86400+date(1970,1,1)"),44038.63517361111)</f>
        <v>44038.63517</v>
      </c>
      <c r="G8" s="86" t="s">
        <v>700</v>
      </c>
      <c r="H8" s="86" t="s">
        <v>701</v>
      </c>
      <c r="I8" s="40" t="s">
        <v>17</v>
      </c>
    </row>
    <row r="9">
      <c r="A9" s="71"/>
      <c r="B9" s="40" t="s">
        <v>47</v>
      </c>
      <c r="C9" s="57">
        <f>SUM(C6:C7)</f>
        <v>68</v>
      </c>
      <c r="D9" s="14">
        <f>SUM(D5:D6) + D2</f>
        <v>0.6326530612</v>
      </c>
      <c r="E9" s="89">
        <v>1.595776584E9</v>
      </c>
      <c r="F9" s="66">
        <f>IFERROR(__xludf.DUMMYFUNCTION("INDEX(SPLIT(E9, char(10)), 0, 1)/86400+date(1970,1,1)"),44038.63638888889)</f>
        <v>44038.63639</v>
      </c>
      <c r="G9" s="86" t="s">
        <v>702</v>
      </c>
      <c r="H9" s="86" t="s">
        <v>703</v>
      </c>
      <c r="I9" s="40" t="s">
        <v>14</v>
      </c>
    </row>
    <row r="10">
      <c r="A10" s="71"/>
      <c r="B10" s="71"/>
      <c r="C10" s="71"/>
      <c r="D10" s="71"/>
      <c r="E10" s="89">
        <v>1.595776823E9</v>
      </c>
      <c r="F10" s="66">
        <f>IFERROR(__xludf.DUMMYFUNCTION("INDEX(SPLIT(E10, char(10)), 0, 1)/86400+date(1970,1,1)"),44038.63915509259)</f>
        <v>44038.63916</v>
      </c>
      <c r="G10" s="86" t="s">
        <v>704</v>
      </c>
      <c r="H10" s="86" t="s">
        <v>705</v>
      </c>
      <c r="I10" s="40" t="s">
        <v>14</v>
      </c>
    </row>
    <row r="11">
      <c r="A11" s="71"/>
      <c r="B11" s="71"/>
      <c r="C11" s="71"/>
      <c r="D11" s="71"/>
      <c r="E11" s="89">
        <v>1.595776915E9</v>
      </c>
      <c r="F11" s="66">
        <f>IFERROR(__xludf.DUMMYFUNCTION("INDEX(SPLIT(E11, char(10)), 0, 1)/86400+date(1970,1,1)"),44038.64021990741)</f>
        <v>44038.64022</v>
      </c>
      <c r="G11" s="86" t="s">
        <v>706</v>
      </c>
      <c r="H11" s="86" t="s">
        <v>707</v>
      </c>
      <c r="I11" s="40" t="s">
        <v>17</v>
      </c>
    </row>
    <row r="12">
      <c r="A12" s="72" t="s">
        <v>121</v>
      </c>
      <c r="B12" s="73" t="s">
        <v>708</v>
      </c>
      <c r="C12" s="74"/>
      <c r="D12" s="74"/>
      <c r="E12" s="89">
        <v>1.595777101E9</v>
      </c>
      <c r="F12" s="66">
        <f>IFERROR(__xludf.DUMMYFUNCTION("INDEX(SPLIT(E12, char(10)), 0, 1)/86400+date(1970,1,1)"),44038.642372685186)</f>
        <v>44038.64237</v>
      </c>
      <c r="G12" s="86" t="s">
        <v>709</v>
      </c>
      <c r="H12" s="86" t="s">
        <v>710</v>
      </c>
      <c r="I12" s="40" t="s">
        <v>17</v>
      </c>
    </row>
    <row r="13">
      <c r="A13" s="72" t="s">
        <v>125</v>
      </c>
      <c r="B13" s="74"/>
      <c r="C13" s="72" t="s">
        <v>89</v>
      </c>
      <c r="D13" s="72" t="s">
        <v>90</v>
      </c>
      <c r="E13" s="89">
        <v>1.595777193E9</v>
      </c>
      <c r="F13" s="66">
        <f>IFERROR(__xludf.DUMMYFUNCTION("INDEX(SPLIT(E13, char(10)), 0, 1)/86400+date(1970,1,1)"),44038.643437499995)</f>
        <v>44038.64344</v>
      </c>
      <c r="G13" s="86" t="s">
        <v>711</v>
      </c>
      <c r="H13" s="86" t="s">
        <v>712</v>
      </c>
      <c r="I13" s="40" t="s">
        <v>17</v>
      </c>
    </row>
    <row r="14">
      <c r="A14" s="5" t="s">
        <v>128</v>
      </c>
      <c r="B14" s="5" t="s">
        <v>129</v>
      </c>
      <c r="C14" s="75">
        <f t="shared" ref="C14:C17" si="5">COUNTIF($A$19:$A1000, A14)</f>
        <v>3</v>
      </c>
      <c r="D14" s="76">
        <f>IFERROR(__xludf.DUMMYFUNCTION("IF(C14, COUNTIF(FILTER($D$19:$D1000, $A$19:$A1000=A14), TRUE)/C14, 0)"),0.3333333333333333)</f>
        <v>0.3333333333</v>
      </c>
      <c r="E14" s="89">
        <v>1.595777284E9</v>
      </c>
      <c r="F14" s="66">
        <f>IFERROR(__xludf.DUMMYFUNCTION("INDEX(SPLIT(E14, char(10)), 0, 1)/86400+date(1970,1,1)"),44038.64449074074)</f>
        <v>44038.64449</v>
      </c>
      <c r="G14" s="86" t="s">
        <v>713</v>
      </c>
      <c r="H14" s="86" t="s">
        <v>714</v>
      </c>
      <c r="I14" s="40" t="s">
        <v>14</v>
      </c>
    </row>
    <row r="15">
      <c r="A15" s="5" t="s">
        <v>6</v>
      </c>
      <c r="B15" s="5" t="s">
        <v>132</v>
      </c>
      <c r="C15" s="75">
        <f t="shared" si="5"/>
        <v>7</v>
      </c>
      <c r="D15" s="76">
        <f>IFERROR(__xludf.DUMMYFUNCTION("IF(C15, COUNTIF(FILTER($D$19:$D1000, $A$19:$A1000=A15), TRUE)/C15, 0)"),0.42857142857142855)</f>
        <v>0.4285714286</v>
      </c>
      <c r="E15" s="89">
        <v>1.595777664E9</v>
      </c>
      <c r="F15" s="66">
        <f>IFERROR(__xludf.DUMMYFUNCTION("INDEX(SPLIT(E15, char(10)), 0, 1)/86400+date(1970,1,1)"),44038.648888888885)</f>
        <v>44038.64889</v>
      </c>
      <c r="G15" s="86" t="s">
        <v>715</v>
      </c>
      <c r="H15" s="86" t="s">
        <v>716</v>
      </c>
      <c r="I15" s="40" t="s">
        <v>17</v>
      </c>
    </row>
    <row r="16">
      <c r="A16" s="5" t="s">
        <v>7</v>
      </c>
      <c r="B16" s="5" t="s">
        <v>135</v>
      </c>
      <c r="C16" s="75">
        <f t="shared" si="5"/>
        <v>4</v>
      </c>
      <c r="D16" s="76">
        <f>IFERROR(__xludf.DUMMYFUNCTION("IF(C16, COUNTIF(FILTER($D$19:$D1000, $A$19:$A1000=A16), TRUE)/C16, 0)"),0.5)</f>
        <v>0.5</v>
      </c>
      <c r="E16" s="89">
        <v>1.595777768E9</v>
      </c>
      <c r="F16" s="66">
        <f>IFERROR(__xludf.DUMMYFUNCTION("INDEX(SPLIT(E16, char(10)), 0, 1)/86400+date(1970,1,1)"),44038.650092592594)</f>
        <v>44038.65009</v>
      </c>
      <c r="G16" s="86" t="s">
        <v>717</v>
      </c>
      <c r="H16" s="86" t="s">
        <v>718</v>
      </c>
      <c r="I16" s="40" t="s">
        <v>17</v>
      </c>
    </row>
    <row r="17">
      <c r="A17" s="5" t="s">
        <v>8</v>
      </c>
      <c r="B17" s="5" t="s">
        <v>79</v>
      </c>
      <c r="C17" s="75">
        <f t="shared" si="5"/>
        <v>9</v>
      </c>
      <c r="D17" s="76">
        <f>IFERROR(__xludf.DUMMYFUNCTION("IF(C17, COUNTIF(FILTER($D$19:$D1000, $A$19:$A1000=A17), TRUE)/C17, 0)"),0.4444444444444444)</f>
        <v>0.4444444444</v>
      </c>
      <c r="E17" s="89">
        <v>1.595778088E9</v>
      </c>
      <c r="F17" s="66">
        <f>IFERROR(__xludf.DUMMYFUNCTION("INDEX(SPLIT(E17, char(10)), 0, 1)/86400+date(1970,1,1)"),44038.6537962963)</f>
        <v>44038.6538</v>
      </c>
      <c r="G17" s="86" t="s">
        <v>719</v>
      </c>
      <c r="H17" s="86" t="s">
        <v>720</v>
      </c>
      <c r="I17" s="40" t="s">
        <v>17</v>
      </c>
    </row>
    <row r="18">
      <c r="A18" s="74"/>
      <c r="B18" s="72" t="s">
        <v>9</v>
      </c>
      <c r="C18" s="75">
        <f>SUM(C14:C17)</f>
        <v>23</v>
      </c>
      <c r="D18" s="76">
        <f>COUNTIF($D$19:$D1000, TRUE)/SUM($C$14:$C$17)</f>
        <v>0.4347826087</v>
      </c>
      <c r="E18" s="89">
        <v>1.595778206E9</v>
      </c>
      <c r="F18" s="66">
        <f>IFERROR(__xludf.DUMMYFUNCTION("INDEX(SPLIT(E18, char(10)), 0, 1)/86400+date(1970,1,1)"),44038.65516203704)</f>
        <v>44038.65516</v>
      </c>
      <c r="G18" s="86" t="s">
        <v>721</v>
      </c>
      <c r="H18" s="86" t="s">
        <v>722</v>
      </c>
      <c r="I18" s="40" t="s">
        <v>15</v>
      </c>
    </row>
    <row r="19">
      <c r="A19" s="77" t="s">
        <v>7</v>
      </c>
      <c r="B19" s="77" t="s">
        <v>147</v>
      </c>
      <c r="C19" s="78">
        <v>1.0</v>
      </c>
      <c r="D19" s="80" t="b">
        <v>0</v>
      </c>
      <c r="E19" s="89">
        <v>1.595778299E9</v>
      </c>
      <c r="F19" s="66">
        <f>IFERROR(__xludf.DUMMYFUNCTION("INDEX(SPLIT(E19, char(10)), 0, 1)/86400+date(1970,1,1)"),44038.65623842593)</f>
        <v>44038.65624</v>
      </c>
      <c r="G19" s="86" t="s">
        <v>723</v>
      </c>
      <c r="H19" s="86" t="s">
        <v>724</v>
      </c>
      <c r="I19" s="40" t="s">
        <v>17</v>
      </c>
    </row>
    <row r="20">
      <c r="A20" s="77" t="s">
        <v>6</v>
      </c>
      <c r="B20" s="77" t="s">
        <v>725</v>
      </c>
      <c r="C20" s="78">
        <v>9.0</v>
      </c>
      <c r="D20" s="80" t="b">
        <v>1</v>
      </c>
      <c r="E20" s="89">
        <v>1.595778426E9</v>
      </c>
      <c r="F20" s="66">
        <f>IFERROR(__xludf.DUMMYFUNCTION("INDEX(SPLIT(E20, char(10)), 0, 1)/86400+date(1970,1,1)"),44038.65770833333)</f>
        <v>44038.65771</v>
      </c>
      <c r="G20" s="86" t="s">
        <v>726</v>
      </c>
      <c r="H20" s="86" t="s">
        <v>727</v>
      </c>
      <c r="I20" s="40" t="s">
        <v>14</v>
      </c>
    </row>
    <row r="21">
      <c r="A21" s="77" t="s">
        <v>128</v>
      </c>
      <c r="B21" s="77" t="s">
        <v>728</v>
      </c>
      <c r="C21" s="78">
        <v>33.0</v>
      </c>
      <c r="D21" s="80" t="b">
        <v>0</v>
      </c>
      <c r="E21" s="89">
        <v>1.595778521E9</v>
      </c>
      <c r="F21" s="66">
        <f>IFERROR(__xludf.DUMMYFUNCTION("INDEX(SPLIT(E21, char(10)), 0, 1)/86400+date(1970,1,1)"),44038.65880787037)</f>
        <v>44038.65881</v>
      </c>
      <c r="G21" s="86" t="s">
        <v>729</v>
      </c>
      <c r="H21" s="86" t="s">
        <v>730</v>
      </c>
      <c r="I21" s="40" t="s">
        <v>14</v>
      </c>
    </row>
    <row r="22">
      <c r="A22" s="77" t="s">
        <v>7</v>
      </c>
      <c r="B22" s="77" t="s">
        <v>153</v>
      </c>
      <c r="C22" s="78">
        <v>45.0</v>
      </c>
      <c r="D22" s="80" t="b">
        <v>0</v>
      </c>
      <c r="E22" s="89">
        <v>1.595778653E9</v>
      </c>
      <c r="F22" s="66">
        <f>IFERROR(__xludf.DUMMYFUNCTION("INDEX(SPLIT(E22, char(10)), 0, 1)/86400+date(1970,1,1)"),44038.66033564815)</f>
        <v>44038.66034</v>
      </c>
      <c r="G22" s="86" t="s">
        <v>731</v>
      </c>
      <c r="H22" s="86" t="s">
        <v>732</v>
      </c>
      <c r="I22" s="40" t="s">
        <v>17</v>
      </c>
    </row>
    <row r="23">
      <c r="A23" s="77" t="s">
        <v>7</v>
      </c>
      <c r="B23" s="77" t="s">
        <v>156</v>
      </c>
      <c r="C23" s="78">
        <v>45.0</v>
      </c>
      <c r="D23" s="80" t="b">
        <v>1</v>
      </c>
      <c r="E23" s="89">
        <v>1.595778789E9</v>
      </c>
      <c r="F23" s="66">
        <f>IFERROR(__xludf.DUMMYFUNCTION("INDEX(SPLIT(E23, char(10)), 0, 1)/86400+date(1970,1,1)"),44038.66190972222)</f>
        <v>44038.66191</v>
      </c>
      <c r="G23" s="86" t="s">
        <v>733</v>
      </c>
      <c r="H23" s="86" t="s">
        <v>734</v>
      </c>
      <c r="I23" s="40" t="s">
        <v>15</v>
      </c>
    </row>
    <row r="24">
      <c r="A24" s="5" t="s">
        <v>8</v>
      </c>
      <c r="B24" s="5" t="s">
        <v>735</v>
      </c>
      <c r="C24" s="78">
        <v>58.0</v>
      </c>
      <c r="D24" s="80" t="b">
        <v>1</v>
      </c>
      <c r="E24" s="89">
        <v>1.595778941E9</v>
      </c>
      <c r="F24" s="66">
        <f>IFERROR(__xludf.DUMMYFUNCTION("INDEX(SPLIT(E24, char(10)), 0, 1)/86400+date(1970,1,1)"),44038.66366898148)</f>
        <v>44038.66367</v>
      </c>
      <c r="G24" s="86" t="s">
        <v>736</v>
      </c>
      <c r="H24" s="86" t="s">
        <v>737</v>
      </c>
      <c r="I24" s="40" t="s">
        <v>15</v>
      </c>
    </row>
    <row r="25">
      <c r="A25" s="77" t="s">
        <v>6</v>
      </c>
      <c r="B25" s="74" t="s">
        <v>738</v>
      </c>
      <c r="C25" s="78">
        <v>63.0</v>
      </c>
      <c r="D25" s="80" t="b">
        <v>1</v>
      </c>
      <c r="E25" s="89">
        <v>1.595779322E9</v>
      </c>
      <c r="F25" s="66">
        <f>IFERROR(__xludf.DUMMYFUNCTION("INDEX(SPLIT(E25, char(10)), 0, 1)/86400+date(1970,1,1)"),44038.668078703704)</f>
        <v>44038.66808</v>
      </c>
      <c r="G25" s="86" t="s">
        <v>739</v>
      </c>
      <c r="H25" s="86" t="s">
        <v>740</v>
      </c>
      <c r="I25" s="40" t="s">
        <v>16</v>
      </c>
    </row>
    <row r="26">
      <c r="A26" s="77" t="s">
        <v>6</v>
      </c>
      <c r="B26" s="74" t="s">
        <v>741</v>
      </c>
      <c r="C26" s="78">
        <v>69.0</v>
      </c>
      <c r="D26" s="80" t="b">
        <v>0</v>
      </c>
      <c r="E26" s="89">
        <v>1.595779528E9</v>
      </c>
      <c r="F26" s="66">
        <f>IFERROR(__xludf.DUMMYFUNCTION("INDEX(SPLIT(E26, char(10)), 0, 1)/86400+date(1970,1,1)"),44038.67046296297)</f>
        <v>44038.67046</v>
      </c>
      <c r="G26" s="86" t="s">
        <v>742</v>
      </c>
      <c r="H26" s="86" t="s">
        <v>743</v>
      </c>
      <c r="I26" s="40" t="s">
        <v>17</v>
      </c>
    </row>
    <row r="27">
      <c r="A27" s="77" t="s">
        <v>128</v>
      </c>
      <c r="B27" s="74" t="s">
        <v>744</v>
      </c>
      <c r="C27" s="78">
        <v>70.0</v>
      </c>
      <c r="D27" s="80" t="b">
        <v>0</v>
      </c>
      <c r="E27" s="89">
        <v>1.595779625E9</v>
      </c>
      <c r="F27" s="66">
        <f>IFERROR(__xludf.DUMMYFUNCTION("INDEX(SPLIT(E27, char(10)), 0, 1)/86400+date(1970,1,1)"),44038.671585648146)</f>
        <v>44038.67159</v>
      </c>
      <c r="G27" s="86" t="s">
        <v>745</v>
      </c>
      <c r="H27" s="86" t="s">
        <v>746</v>
      </c>
      <c r="I27" s="40" t="s">
        <v>17</v>
      </c>
    </row>
    <row r="28">
      <c r="A28" s="77" t="s">
        <v>8</v>
      </c>
      <c r="B28" s="74" t="s">
        <v>747</v>
      </c>
      <c r="C28" s="78">
        <v>73.0</v>
      </c>
      <c r="D28" s="80" t="b">
        <v>0</v>
      </c>
      <c r="E28" s="89">
        <v>1.595779886E9</v>
      </c>
      <c r="F28" s="66">
        <f>IFERROR(__xludf.DUMMYFUNCTION("INDEX(SPLIT(E28, char(10)), 0, 1)/86400+date(1970,1,1)"),44038.67460648148)</f>
        <v>44038.67461</v>
      </c>
      <c r="G28" s="86" t="s">
        <v>748</v>
      </c>
      <c r="H28" s="86" t="s">
        <v>749</v>
      </c>
      <c r="I28" s="40" t="s">
        <v>75</v>
      </c>
    </row>
    <row r="29">
      <c r="A29" s="77" t="s">
        <v>8</v>
      </c>
      <c r="B29" s="74" t="s">
        <v>750</v>
      </c>
      <c r="C29" s="78">
        <v>73.0</v>
      </c>
      <c r="D29" s="80" t="b">
        <v>1</v>
      </c>
      <c r="E29" s="89">
        <v>1.595779981E9</v>
      </c>
      <c r="F29" s="66">
        <f>IFERROR(__xludf.DUMMYFUNCTION("INDEX(SPLIT(E29, char(10)), 0, 1)/86400+date(1970,1,1)"),44038.67570601852)</f>
        <v>44038.67571</v>
      </c>
      <c r="G29" s="86" t="s">
        <v>751</v>
      </c>
      <c r="H29" s="86" t="s">
        <v>752</v>
      </c>
      <c r="I29" s="40" t="s">
        <v>16</v>
      </c>
    </row>
    <row r="30">
      <c r="A30" s="77" t="s">
        <v>8</v>
      </c>
      <c r="B30" s="74" t="s">
        <v>753</v>
      </c>
      <c r="C30" s="78">
        <v>73.0</v>
      </c>
      <c r="D30" s="80" t="b">
        <v>0</v>
      </c>
      <c r="E30" s="89">
        <v>1.595780261E9</v>
      </c>
      <c r="F30" s="66">
        <f>IFERROR(__xludf.DUMMYFUNCTION("INDEX(SPLIT(E30, char(10)), 0, 1)/86400+date(1970,1,1)"),44038.67894675926)</f>
        <v>44038.67895</v>
      </c>
      <c r="G30" s="86" t="s">
        <v>754</v>
      </c>
      <c r="H30" s="86" t="s">
        <v>755</v>
      </c>
      <c r="I30" s="40" t="s">
        <v>17</v>
      </c>
    </row>
    <row r="31">
      <c r="A31" s="77" t="s">
        <v>8</v>
      </c>
      <c r="B31" s="74" t="s">
        <v>756</v>
      </c>
      <c r="C31" s="78">
        <v>77.0</v>
      </c>
      <c r="D31" s="80" t="b">
        <v>1</v>
      </c>
      <c r="E31" s="89">
        <v>1.59578036E9</v>
      </c>
      <c r="F31" s="66">
        <f>IFERROR(__xludf.DUMMYFUNCTION("INDEX(SPLIT(E31, char(10)), 0, 1)/86400+date(1970,1,1)"),44038.68009259259)</f>
        <v>44038.68009</v>
      </c>
      <c r="G31" s="86" t="s">
        <v>757</v>
      </c>
      <c r="H31" s="86" t="s">
        <v>758</v>
      </c>
      <c r="I31" s="40" t="s">
        <v>17</v>
      </c>
    </row>
    <row r="32">
      <c r="A32" s="77" t="s">
        <v>6</v>
      </c>
      <c r="B32" s="74" t="s">
        <v>759</v>
      </c>
      <c r="C32" s="78">
        <v>83.0</v>
      </c>
      <c r="D32" s="80" t="b">
        <v>0</v>
      </c>
      <c r="E32" s="89">
        <v>1.595780452E9</v>
      </c>
      <c r="F32" s="66">
        <f>IFERROR(__xludf.DUMMYFUNCTION("INDEX(SPLIT(E32, char(10)), 0, 1)/86400+date(1970,1,1)"),44038.68115740741)</f>
        <v>44038.68116</v>
      </c>
      <c r="G32" s="86" t="s">
        <v>760</v>
      </c>
      <c r="H32" s="86" t="s">
        <v>761</v>
      </c>
      <c r="I32" s="40" t="s">
        <v>16</v>
      </c>
    </row>
    <row r="33">
      <c r="A33" s="77" t="s">
        <v>8</v>
      </c>
      <c r="B33" s="74" t="s">
        <v>762</v>
      </c>
      <c r="C33" s="78">
        <v>86.0</v>
      </c>
      <c r="D33" s="80" t="b">
        <v>0</v>
      </c>
      <c r="E33" s="89">
        <v>1.595780657E9</v>
      </c>
      <c r="F33" s="66">
        <f>IFERROR(__xludf.DUMMYFUNCTION("INDEX(SPLIT(E33, char(10)), 0, 1)/86400+date(1970,1,1)"),44038.68353009259)</f>
        <v>44038.68353</v>
      </c>
      <c r="G33" s="86" t="s">
        <v>763</v>
      </c>
      <c r="H33" s="86" t="s">
        <v>764</v>
      </c>
      <c r="I33" s="40" t="s">
        <v>14</v>
      </c>
    </row>
    <row r="34">
      <c r="A34" s="77" t="s">
        <v>8</v>
      </c>
      <c r="B34" s="74" t="s">
        <v>765</v>
      </c>
      <c r="C34" s="78">
        <v>88.0</v>
      </c>
      <c r="D34" s="80" t="b">
        <v>0</v>
      </c>
      <c r="E34" s="89">
        <v>1.595780758E9</v>
      </c>
      <c r="F34" s="66">
        <f>IFERROR(__xludf.DUMMYFUNCTION("INDEX(SPLIT(E34, char(10)), 0, 1)/86400+date(1970,1,1)"),44038.684699074074)</f>
        <v>44038.6847</v>
      </c>
      <c r="G34" s="86" t="s">
        <v>766</v>
      </c>
      <c r="H34" s="86" t="s">
        <v>767</v>
      </c>
      <c r="I34" s="40" t="s">
        <v>14</v>
      </c>
    </row>
    <row r="35">
      <c r="A35" s="77" t="s">
        <v>6</v>
      </c>
      <c r="B35" s="74" t="s">
        <v>768</v>
      </c>
      <c r="C35" s="78">
        <v>90.0</v>
      </c>
      <c r="D35" s="80" t="b">
        <v>0</v>
      </c>
      <c r="E35" s="89">
        <v>1.595780849E9</v>
      </c>
      <c r="F35" s="66">
        <f>IFERROR(__xludf.DUMMYFUNCTION("INDEX(SPLIT(E35, char(10)), 0, 1)/86400+date(1970,1,1)"),44038.685752314814)</f>
        <v>44038.68575</v>
      </c>
      <c r="G35" s="86" t="s">
        <v>769</v>
      </c>
      <c r="H35" s="86" t="s">
        <v>770</v>
      </c>
      <c r="I35" s="40" t="s">
        <v>17</v>
      </c>
    </row>
    <row r="36">
      <c r="A36" s="77" t="s">
        <v>6</v>
      </c>
      <c r="B36" s="74" t="s">
        <v>771</v>
      </c>
      <c r="C36" s="78">
        <v>92.0</v>
      </c>
      <c r="D36" s="80" t="b">
        <v>0</v>
      </c>
      <c r="E36" s="89">
        <v>1.59578094E9</v>
      </c>
      <c r="F36" s="66">
        <f>IFERROR(__xludf.DUMMYFUNCTION("INDEX(SPLIT(E36, char(10)), 0, 1)/86400+date(1970,1,1)"),44038.68680555555)</f>
        <v>44038.68681</v>
      </c>
      <c r="G36" s="86" t="s">
        <v>772</v>
      </c>
      <c r="H36" s="86" t="s">
        <v>773</v>
      </c>
      <c r="I36" s="40" t="s">
        <v>14</v>
      </c>
    </row>
    <row r="37">
      <c r="A37" s="77" t="s">
        <v>6</v>
      </c>
      <c r="B37" s="74" t="s">
        <v>774</v>
      </c>
      <c r="C37" s="78">
        <v>94.0</v>
      </c>
      <c r="D37" s="80" t="b">
        <v>1</v>
      </c>
      <c r="E37" s="89">
        <v>1.595781035E9</v>
      </c>
      <c r="F37" s="66">
        <f>IFERROR(__xludf.DUMMYFUNCTION("INDEX(SPLIT(E37, char(10)), 0, 1)/86400+date(1970,1,1)"),44038.68790509259)</f>
        <v>44038.68791</v>
      </c>
      <c r="G37" s="86" t="s">
        <v>775</v>
      </c>
      <c r="H37" s="86" t="s">
        <v>776</v>
      </c>
      <c r="I37" s="40" t="s">
        <v>16</v>
      </c>
    </row>
    <row r="38">
      <c r="A38" s="77" t="s">
        <v>8</v>
      </c>
      <c r="B38" s="74" t="s">
        <v>777</v>
      </c>
      <c r="C38" s="78">
        <v>97.0</v>
      </c>
      <c r="D38" s="80" t="b">
        <v>1</v>
      </c>
      <c r="E38" s="89">
        <v>1.59578113E9</v>
      </c>
      <c r="F38" s="66">
        <f>IFERROR(__xludf.DUMMYFUNCTION("INDEX(SPLIT(E38, char(10)), 0, 1)/86400+date(1970,1,1)"),44038.68900462963)</f>
        <v>44038.689</v>
      </c>
      <c r="G38" s="86" t="s">
        <v>778</v>
      </c>
      <c r="H38" s="86" t="s">
        <v>779</v>
      </c>
      <c r="I38" s="40" t="s">
        <v>14</v>
      </c>
    </row>
    <row r="39">
      <c r="A39" s="77" t="s">
        <v>8</v>
      </c>
      <c r="B39" s="74" t="s">
        <v>780</v>
      </c>
      <c r="C39" s="78">
        <v>97.0</v>
      </c>
      <c r="D39" s="80" t="b">
        <v>0</v>
      </c>
      <c r="E39" s="89">
        <v>1.59578122E9</v>
      </c>
      <c r="F39" s="66">
        <f>IFERROR(__xludf.DUMMYFUNCTION("INDEX(SPLIT(E39, char(10)), 0, 1)/86400+date(1970,1,1)"),44038.690046296295)</f>
        <v>44038.69005</v>
      </c>
      <c r="G39" s="86" t="s">
        <v>781</v>
      </c>
      <c r="H39" s="86" t="s">
        <v>782</v>
      </c>
      <c r="I39" s="40" t="s">
        <v>16</v>
      </c>
    </row>
    <row r="40">
      <c r="A40" s="77" t="s">
        <v>128</v>
      </c>
      <c r="B40" s="74" t="s">
        <v>783</v>
      </c>
      <c r="C40" s="78">
        <v>98.0</v>
      </c>
      <c r="D40" s="80" t="b">
        <v>1</v>
      </c>
      <c r="E40" s="89">
        <v>1.595781329E9</v>
      </c>
      <c r="F40" s="66">
        <f>IFERROR(__xludf.DUMMYFUNCTION("INDEX(SPLIT(E40, char(10)), 0, 1)/86400+date(1970,1,1)"),44038.691307870366)</f>
        <v>44038.69131</v>
      </c>
      <c r="G40" s="86" t="s">
        <v>784</v>
      </c>
      <c r="H40" s="86" t="s">
        <v>785</v>
      </c>
      <c r="I40" s="40" t="s">
        <v>75</v>
      </c>
    </row>
    <row r="41">
      <c r="A41" s="77" t="s">
        <v>7</v>
      </c>
      <c r="B41" s="74" t="s">
        <v>181</v>
      </c>
      <c r="C41" s="78">
        <v>90.0</v>
      </c>
      <c r="D41" s="80" t="b">
        <v>1</v>
      </c>
      <c r="E41" s="89">
        <v>1.595781433E9</v>
      </c>
      <c r="F41" s="66">
        <f>IFERROR(__xludf.DUMMYFUNCTION("INDEX(SPLIT(E41, char(10)), 0, 1)/86400+date(1970,1,1)"),44038.692511574074)</f>
        <v>44038.69251</v>
      </c>
      <c r="G41" s="86" t="s">
        <v>786</v>
      </c>
      <c r="H41" s="86" t="s">
        <v>787</v>
      </c>
      <c r="I41" s="40" t="s">
        <v>15</v>
      </c>
    </row>
    <row r="42">
      <c r="A42" s="77"/>
      <c r="B42" s="74"/>
      <c r="C42" s="78"/>
      <c r="D42" s="80"/>
      <c r="E42" s="89">
        <v>1.595781664E9</v>
      </c>
      <c r="F42" s="66">
        <f>IFERROR(__xludf.DUMMYFUNCTION("INDEX(SPLIT(E42, char(10)), 0, 1)/86400+date(1970,1,1)"),44038.695185185185)</f>
        <v>44038.69519</v>
      </c>
      <c r="G42" s="86" t="s">
        <v>788</v>
      </c>
      <c r="H42" s="86" t="s">
        <v>789</v>
      </c>
      <c r="I42" s="40" t="s">
        <v>17</v>
      </c>
    </row>
    <row r="43">
      <c r="A43" s="71"/>
      <c r="B43" s="71"/>
      <c r="C43" s="71"/>
      <c r="D43" s="71"/>
      <c r="E43" s="89">
        <v>1.595781764E9</v>
      </c>
      <c r="F43" s="66">
        <f>IFERROR(__xludf.DUMMYFUNCTION("INDEX(SPLIT(E43, char(10)), 0, 1)/86400+date(1970,1,1)"),44038.69634259259)</f>
        <v>44038.69634</v>
      </c>
      <c r="G43" s="86" t="s">
        <v>790</v>
      </c>
      <c r="H43" s="86" t="s">
        <v>791</v>
      </c>
      <c r="I43" s="40" t="s">
        <v>17</v>
      </c>
    </row>
    <row r="44">
      <c r="D44" s="71"/>
      <c r="E44" s="89">
        <v>1.595781882E9</v>
      </c>
      <c r="F44" s="66">
        <f>IFERROR(__xludf.DUMMYFUNCTION("INDEX(SPLIT(E44, char(10)), 0, 1)/86400+date(1970,1,1)"),44038.69770833333)</f>
        <v>44038.69771</v>
      </c>
      <c r="G44" s="86" t="s">
        <v>792</v>
      </c>
      <c r="H44" s="86" t="s">
        <v>793</v>
      </c>
      <c r="I44" s="40" t="s">
        <v>14</v>
      </c>
    </row>
    <row r="45">
      <c r="E45" s="89">
        <v>1.595782251E9</v>
      </c>
      <c r="F45" s="66">
        <f>IFERROR(__xludf.DUMMYFUNCTION("INDEX(SPLIT(E45, char(10)), 0, 1)/86400+date(1970,1,1)"),44038.70197916667)</f>
        <v>44038.70198</v>
      </c>
      <c r="G45" s="86" t="s">
        <v>794</v>
      </c>
      <c r="H45" s="86" t="s">
        <v>795</v>
      </c>
      <c r="I45" s="40" t="s">
        <v>15</v>
      </c>
    </row>
    <row r="46">
      <c r="E46" s="89">
        <v>1.595782348E9</v>
      </c>
      <c r="F46" s="66">
        <f>IFERROR(__xludf.DUMMYFUNCTION("INDEX(SPLIT(E46, char(10)), 0, 1)/86400+date(1970,1,1)"),44038.70310185185)</f>
        <v>44038.7031</v>
      </c>
      <c r="G46" s="86" t="s">
        <v>796</v>
      </c>
      <c r="H46" s="86" t="s">
        <v>797</v>
      </c>
      <c r="I46" s="40" t="s">
        <v>16</v>
      </c>
    </row>
    <row r="47">
      <c r="E47" s="89">
        <v>1.595782447E9</v>
      </c>
      <c r="F47" s="66">
        <f>IFERROR(__xludf.DUMMYFUNCTION("INDEX(SPLIT(E47, char(10)), 0, 1)/86400+date(1970,1,1)"),44038.704247685186)</f>
        <v>44038.70425</v>
      </c>
      <c r="G47" s="86" t="s">
        <v>798</v>
      </c>
      <c r="H47" s="86" t="s">
        <v>799</v>
      </c>
      <c r="I47" s="40" t="s">
        <v>16</v>
      </c>
    </row>
    <row r="48">
      <c r="E48" s="89">
        <v>1.595782549E9</v>
      </c>
      <c r="F48" s="66">
        <f>IFERROR(__xludf.DUMMYFUNCTION("INDEX(SPLIT(E48, char(10)), 0, 1)/86400+date(1970,1,1)"),44038.70542824074)</f>
        <v>44038.70543</v>
      </c>
      <c r="G48" s="86" t="s">
        <v>800</v>
      </c>
      <c r="H48" s="86" t="s">
        <v>801</v>
      </c>
      <c r="I48" s="40" t="s">
        <v>16</v>
      </c>
    </row>
    <row r="49">
      <c r="E49" s="89">
        <v>1.595782641E9</v>
      </c>
      <c r="F49" s="66">
        <f>IFERROR(__xludf.DUMMYFUNCTION("INDEX(SPLIT(E49, char(10)), 0, 1)/86400+date(1970,1,1)"),44038.70649305556)</f>
        <v>44038.70649</v>
      </c>
      <c r="G49" s="86" t="s">
        <v>802</v>
      </c>
      <c r="H49" s="86" t="s">
        <v>803</v>
      </c>
      <c r="I49" s="40" t="s">
        <v>17</v>
      </c>
    </row>
    <row r="50">
      <c r="E50" s="40">
        <v>1.59578275E9</v>
      </c>
      <c r="F50" s="66">
        <f>IFERROR(__xludf.DUMMYFUNCTION("INDEX(SPLIT(E50, char(10)), 0, 1)/86400+date(1970,1,1)"),44038.707754629635)</f>
        <v>44038.70775</v>
      </c>
      <c r="G50" s="86" t="s">
        <v>804</v>
      </c>
      <c r="H50" s="86" t="s">
        <v>805</v>
      </c>
      <c r="I50" s="40" t="s">
        <v>16</v>
      </c>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0.06666666667</v>
      </c>
      <c r="E2" s="89">
        <v>1.595775739E9</v>
      </c>
      <c r="F2" s="66">
        <f>IFERROR(__xludf.DUMMYFUNCTION("INDEX(SPLIT(E2, char(10)), 0, 1)/86400+date(1970,1,1)"),44038.6266087963)</f>
        <v>44038.62661</v>
      </c>
      <c r="G2" s="86" t="s">
        <v>806</v>
      </c>
      <c r="H2" s="86" t="s">
        <v>807</v>
      </c>
      <c r="I2" s="40" t="s">
        <v>17</v>
      </c>
      <c r="J2" s="40"/>
    </row>
    <row r="3">
      <c r="A3" s="40" t="s">
        <v>14</v>
      </c>
      <c r="B3" s="40" t="s">
        <v>99</v>
      </c>
      <c r="C3" s="40">
        <f t="shared" si="1"/>
        <v>2</v>
      </c>
      <c r="D3" s="64">
        <f t="shared" si="2"/>
        <v>0.06666666667</v>
      </c>
      <c r="E3" s="89">
        <v>1.595776172E9</v>
      </c>
      <c r="F3" s="66">
        <f>IFERROR(__xludf.DUMMYFUNCTION("INDEX(SPLIT(E3, char(10)), 0, 1)/86400+date(1970,1,1)"),44038.631620370375)</f>
        <v>44038.63162</v>
      </c>
      <c r="G3" s="86" t="s">
        <v>808</v>
      </c>
      <c r="H3" s="86" t="s">
        <v>809</v>
      </c>
      <c r="I3" s="40" t="s">
        <v>16</v>
      </c>
      <c r="J3" s="40"/>
    </row>
    <row r="4">
      <c r="A4" s="40" t="s">
        <v>15</v>
      </c>
      <c r="B4" s="40" t="s">
        <v>102</v>
      </c>
      <c r="C4" s="40">
        <f t="shared" si="1"/>
        <v>3</v>
      </c>
      <c r="D4" s="64">
        <f t="shared" si="2"/>
        <v>0.1</v>
      </c>
      <c r="E4" s="89">
        <v>1.595776311E9</v>
      </c>
      <c r="F4" s="66">
        <f>IFERROR(__xludf.DUMMYFUNCTION("INDEX(SPLIT(E4, char(10)), 0, 1)/86400+date(1970,1,1)"),44038.63322916666)</f>
        <v>44038.63323</v>
      </c>
      <c r="G4" s="86" t="s">
        <v>602</v>
      </c>
      <c r="H4" s="86" t="s">
        <v>810</v>
      </c>
      <c r="I4" s="40" t="s">
        <v>17</v>
      </c>
      <c r="J4" s="40"/>
    </row>
    <row r="5">
      <c r="A5" s="40" t="s">
        <v>16</v>
      </c>
      <c r="B5" s="40" t="s">
        <v>105</v>
      </c>
      <c r="C5" s="40">
        <f t="shared" si="1"/>
        <v>10</v>
      </c>
      <c r="D5" s="64">
        <f t="shared" si="2"/>
        <v>0.3333333333</v>
      </c>
      <c r="E5" s="89">
        <v>1.595776875E9</v>
      </c>
      <c r="F5" s="66">
        <f>IFERROR(__xludf.DUMMYFUNCTION("INDEX(SPLIT(E5, char(10)), 0, 1)/86400+date(1970,1,1)"),44038.639756944445)</f>
        <v>44038.63976</v>
      </c>
      <c r="G5" s="86" t="s">
        <v>194</v>
      </c>
      <c r="H5" s="86" t="s">
        <v>811</v>
      </c>
      <c r="I5" s="40" t="s">
        <v>14</v>
      </c>
      <c r="J5" s="40"/>
    </row>
    <row r="6">
      <c r="A6" s="40" t="s">
        <v>17</v>
      </c>
      <c r="B6" s="40" t="s">
        <v>108</v>
      </c>
      <c r="C6" s="40">
        <f t="shared" si="1"/>
        <v>13</v>
      </c>
      <c r="D6" s="64">
        <f t="shared" si="2"/>
        <v>0.4333333333</v>
      </c>
      <c r="E6" s="89">
        <v>1.595776978E9</v>
      </c>
      <c r="F6" s="66">
        <f>IFERROR(__xludf.DUMMYFUNCTION("INDEX(SPLIT(E6, char(10)), 0, 1)/86400+date(1970,1,1)"),44038.64094907408)</f>
        <v>44038.64095</v>
      </c>
      <c r="G6" s="86" t="s">
        <v>610</v>
      </c>
      <c r="H6" s="86" t="s">
        <v>812</v>
      </c>
      <c r="I6" s="40" t="s">
        <v>17</v>
      </c>
    </row>
    <row r="7">
      <c r="B7" s="40" t="s">
        <v>13</v>
      </c>
      <c r="C7" s="69">
        <f t="shared" ref="C7:D7" si="3">SUM(C2:C6)</f>
        <v>30</v>
      </c>
      <c r="D7" s="70">
        <f t="shared" si="3"/>
        <v>1</v>
      </c>
      <c r="E7" s="89">
        <v>1.595777179E9</v>
      </c>
      <c r="F7" s="66">
        <f>IFERROR(__xludf.DUMMYFUNCTION("INDEX(SPLIT(E7, char(10)), 0, 1)/86400+date(1970,1,1)"),44038.643275462964)</f>
        <v>44038.64328</v>
      </c>
      <c r="G7" s="86" t="s">
        <v>813</v>
      </c>
      <c r="H7" s="86" t="s">
        <v>814</v>
      </c>
      <c r="I7" s="40" t="s">
        <v>17</v>
      </c>
    </row>
    <row r="8">
      <c r="A8" s="71"/>
      <c r="B8" s="40" t="s">
        <v>18</v>
      </c>
      <c r="C8" s="57">
        <f t="shared" ref="C8:D8" si="4">SUM(C5:C6)</f>
        <v>23</v>
      </c>
      <c r="D8" s="14">
        <f t="shared" si="4"/>
        <v>0.7666666667</v>
      </c>
      <c r="E8" s="89">
        <v>1.595777368E9</v>
      </c>
      <c r="F8" s="66">
        <f>IFERROR(__xludf.DUMMYFUNCTION("INDEX(SPLIT(E8, char(10)), 0, 1)/86400+date(1970,1,1)"),44038.64546296296)</f>
        <v>44038.64546</v>
      </c>
      <c r="G8" s="86" t="s">
        <v>815</v>
      </c>
      <c r="H8" s="86" t="s">
        <v>816</v>
      </c>
      <c r="I8" s="40" t="s">
        <v>15</v>
      </c>
    </row>
    <row r="9">
      <c r="A9" s="71"/>
      <c r="B9" s="40" t="s">
        <v>47</v>
      </c>
      <c r="C9" s="57">
        <f>SUM(C6:C7)</f>
        <v>43</v>
      </c>
      <c r="D9" s="14">
        <f>SUM(D5:D6) + D2</f>
        <v>0.8333333333</v>
      </c>
      <c r="E9" s="89">
        <v>1.595777631E9</v>
      </c>
      <c r="F9" s="66">
        <f>IFERROR(__xludf.DUMMYFUNCTION("INDEX(SPLIT(E9, char(10)), 0, 1)/86400+date(1970,1,1)"),44038.648506944446)</f>
        <v>44038.64851</v>
      </c>
      <c r="G9" s="86" t="s">
        <v>817</v>
      </c>
      <c r="H9" s="86" t="s">
        <v>818</v>
      </c>
      <c r="I9" s="40" t="s">
        <v>16</v>
      </c>
    </row>
    <row r="10">
      <c r="A10" s="71"/>
      <c r="B10" s="71"/>
      <c r="C10" s="71"/>
      <c r="D10" s="71"/>
      <c r="E10" s="89">
        <v>1.595778102E9</v>
      </c>
      <c r="F10" s="66">
        <f>IFERROR(__xludf.DUMMYFUNCTION("INDEX(SPLIT(E10, char(10)), 0, 1)/86400+date(1970,1,1)"),44038.653958333336)</f>
        <v>44038.65396</v>
      </c>
      <c r="G10" s="86" t="s">
        <v>819</v>
      </c>
      <c r="H10" s="86" t="s">
        <v>820</v>
      </c>
      <c r="I10" s="40" t="s">
        <v>17</v>
      </c>
    </row>
    <row r="11">
      <c r="A11" s="71"/>
      <c r="B11" s="71"/>
      <c r="C11" s="71"/>
      <c r="D11" s="71"/>
      <c r="E11" s="89">
        <v>1.595778478E9</v>
      </c>
      <c r="F11" s="66">
        <f>IFERROR(__xludf.DUMMYFUNCTION("INDEX(SPLIT(E11, char(10)), 0, 1)/86400+date(1970,1,1)"),44038.65831018519)</f>
        <v>44038.65831</v>
      </c>
      <c r="G11" s="86" t="s">
        <v>683</v>
      </c>
      <c r="H11" s="86" t="s">
        <v>821</v>
      </c>
      <c r="I11" s="40" t="s">
        <v>17</v>
      </c>
    </row>
    <row r="12">
      <c r="A12" s="72" t="s">
        <v>121</v>
      </c>
      <c r="B12" s="73" t="s">
        <v>822</v>
      </c>
      <c r="C12" s="74"/>
      <c r="D12" s="74"/>
      <c r="E12" s="89">
        <v>1.595778607E9</v>
      </c>
      <c r="F12" s="66">
        <f>IFERROR(__xludf.DUMMYFUNCTION("INDEX(SPLIT(E12, char(10)), 0, 1)/86400+date(1970,1,1)"),44038.65980324074)</f>
        <v>44038.6598</v>
      </c>
      <c r="G12" s="86" t="s">
        <v>823</v>
      </c>
      <c r="H12" s="86" t="s">
        <v>824</v>
      </c>
      <c r="I12" s="40" t="s">
        <v>15</v>
      </c>
    </row>
    <row r="13">
      <c r="A13" s="72" t="s">
        <v>125</v>
      </c>
      <c r="B13" s="74"/>
      <c r="C13" s="72" t="s">
        <v>89</v>
      </c>
      <c r="D13" s="72" t="s">
        <v>90</v>
      </c>
      <c r="E13" s="89">
        <v>1.595778894E9</v>
      </c>
      <c r="F13" s="66">
        <f>IFERROR(__xludf.DUMMYFUNCTION("INDEX(SPLIT(E13, char(10)), 0, 1)/86400+date(1970,1,1)"),44038.663125)</f>
        <v>44038.66313</v>
      </c>
      <c r="G13" s="86" t="s">
        <v>825</v>
      </c>
      <c r="H13" s="86" t="s">
        <v>826</v>
      </c>
      <c r="I13" s="40" t="s">
        <v>17</v>
      </c>
    </row>
    <row r="14">
      <c r="A14" s="5" t="s">
        <v>128</v>
      </c>
      <c r="B14" s="5" t="s">
        <v>129</v>
      </c>
      <c r="C14" s="75">
        <f t="shared" ref="C14:C17" si="5">COUNTIF($A$19:$A1000, A14)</f>
        <v>3</v>
      </c>
      <c r="D14" s="76">
        <f>IFERROR(__xludf.DUMMYFUNCTION("IF(C14, COUNTIF(FILTER($D$19:$D1000, $A$19:$A1000=A14), TRUE)/C14, 0)"),1.0)</f>
        <v>1</v>
      </c>
      <c r="E14" s="89">
        <v>1.595779041E9</v>
      </c>
      <c r="F14" s="66">
        <f>IFERROR(__xludf.DUMMYFUNCTION("INDEX(SPLIT(E14, char(10)), 0, 1)/86400+date(1970,1,1)"),44038.66482638889)</f>
        <v>44038.66483</v>
      </c>
      <c r="G14" s="86" t="s">
        <v>827</v>
      </c>
      <c r="H14" s="86" t="s">
        <v>828</v>
      </c>
      <c r="I14" s="40" t="s">
        <v>17</v>
      </c>
    </row>
    <row r="15">
      <c r="A15" s="5" t="s">
        <v>6</v>
      </c>
      <c r="B15" s="5" t="s">
        <v>132</v>
      </c>
      <c r="C15" s="75">
        <f t="shared" si="5"/>
        <v>7</v>
      </c>
      <c r="D15" s="76">
        <f>IFERROR(__xludf.DUMMYFUNCTION("IF(C15, COUNTIF(FILTER($D$19:$D1000, $A$19:$A1000=A15), TRUE)/C15, 0)"),0.42857142857142855)</f>
        <v>0.4285714286</v>
      </c>
      <c r="E15" s="89">
        <v>1.595779322E9</v>
      </c>
      <c r="F15" s="66">
        <f>IFERROR(__xludf.DUMMYFUNCTION("INDEX(SPLIT(E15, char(10)), 0, 1)/86400+date(1970,1,1)"),44038.668078703704)</f>
        <v>44038.66808</v>
      </c>
      <c r="G15" s="86" t="s">
        <v>739</v>
      </c>
      <c r="H15" s="86" t="s">
        <v>829</v>
      </c>
      <c r="I15" s="40" t="s">
        <v>16</v>
      </c>
    </row>
    <row r="16">
      <c r="A16" s="5" t="s">
        <v>7</v>
      </c>
      <c r="B16" s="5" t="s">
        <v>135</v>
      </c>
      <c r="C16" s="75">
        <f t="shared" si="5"/>
        <v>4</v>
      </c>
      <c r="D16" s="76">
        <f>IFERROR(__xludf.DUMMYFUNCTION("IF(C16, COUNTIF(FILTER($D$19:$D1000, $A$19:$A1000=A16), TRUE)/C16, 0)"),0.5)</f>
        <v>0.5</v>
      </c>
      <c r="E16" s="89">
        <v>1.595779544E9</v>
      </c>
      <c r="F16" s="66">
        <f>IFERROR(__xludf.DUMMYFUNCTION("INDEX(SPLIT(E16, char(10)), 0, 1)/86400+date(1970,1,1)"),44038.67064814815)</f>
        <v>44038.67065</v>
      </c>
      <c r="G16" s="86" t="s">
        <v>830</v>
      </c>
      <c r="H16" s="86" t="s">
        <v>831</v>
      </c>
      <c r="I16" s="40" t="s">
        <v>17</v>
      </c>
    </row>
    <row r="17">
      <c r="A17" s="5" t="s">
        <v>8</v>
      </c>
      <c r="B17" s="5" t="s">
        <v>79</v>
      </c>
      <c r="C17" s="75">
        <f t="shared" si="5"/>
        <v>9</v>
      </c>
      <c r="D17" s="76">
        <f>IFERROR(__xludf.DUMMYFUNCTION("IF(C17, COUNTIF(FILTER($D$19:$D1000, $A$19:$A1000=A17), TRUE)/C17, 0)"),0.2222222222222222)</f>
        <v>0.2222222222</v>
      </c>
      <c r="E17" s="89">
        <v>1.595779671E9</v>
      </c>
      <c r="F17" s="66">
        <f>IFERROR(__xludf.DUMMYFUNCTION("INDEX(SPLIT(E17, char(10)), 0, 1)/86400+date(1970,1,1)"),44038.672118055554)</f>
        <v>44038.67212</v>
      </c>
      <c r="G17" s="86" t="s">
        <v>832</v>
      </c>
      <c r="H17" s="86" t="s">
        <v>833</v>
      </c>
      <c r="I17" s="40" t="s">
        <v>75</v>
      </c>
    </row>
    <row r="18">
      <c r="A18" s="74"/>
      <c r="B18" s="72" t="s">
        <v>9</v>
      </c>
      <c r="C18" s="75">
        <f>SUM(C14:C17)</f>
        <v>23</v>
      </c>
      <c r="D18" s="76">
        <f>COUNTIF($D$19:$D1000, TRUE)/SUM($C$14:$C$17)</f>
        <v>0.4347826087</v>
      </c>
      <c r="E18" s="89">
        <v>1.595780267E9</v>
      </c>
      <c r="F18" s="66">
        <f>IFERROR(__xludf.DUMMYFUNCTION("INDEX(SPLIT(E18, char(10)), 0, 1)/86400+date(1970,1,1)"),44038.67901620371)</f>
        <v>44038.67902</v>
      </c>
      <c r="G18" s="86" t="s">
        <v>834</v>
      </c>
      <c r="H18" s="86" t="s">
        <v>835</v>
      </c>
      <c r="I18" s="40" t="s">
        <v>16</v>
      </c>
    </row>
    <row r="19">
      <c r="A19" s="77" t="s">
        <v>7</v>
      </c>
      <c r="B19" s="77" t="s">
        <v>147</v>
      </c>
      <c r="C19" s="78">
        <v>1.0</v>
      </c>
      <c r="D19" s="80" t="b">
        <v>0</v>
      </c>
      <c r="E19" s="89">
        <v>1.595780392E9</v>
      </c>
      <c r="F19" s="66">
        <f>IFERROR(__xludf.DUMMYFUNCTION("INDEX(SPLIT(E19, char(10)), 0, 1)/86400+date(1970,1,1)"),44038.68046296296)</f>
        <v>44038.68046</v>
      </c>
      <c r="G19" s="86" t="s">
        <v>836</v>
      </c>
      <c r="H19" s="86" t="s">
        <v>837</v>
      </c>
      <c r="I19" s="40" t="s">
        <v>17</v>
      </c>
    </row>
    <row r="20">
      <c r="A20" s="77" t="s">
        <v>6</v>
      </c>
      <c r="B20" s="77" t="s">
        <v>725</v>
      </c>
      <c r="C20" s="78">
        <v>9.0</v>
      </c>
      <c r="D20" s="80" t="b">
        <v>1</v>
      </c>
      <c r="E20" s="89">
        <v>1.595780494E9</v>
      </c>
      <c r="F20" s="66">
        <f>IFERROR(__xludf.DUMMYFUNCTION("INDEX(SPLIT(E20, char(10)), 0, 1)/86400+date(1970,1,1)"),44038.68164351852)</f>
        <v>44038.68164</v>
      </c>
      <c r="G20" s="86" t="s">
        <v>838</v>
      </c>
      <c r="H20" s="86" t="s">
        <v>839</v>
      </c>
      <c r="I20" s="40" t="s">
        <v>16</v>
      </c>
    </row>
    <row r="21">
      <c r="A21" s="77" t="s">
        <v>128</v>
      </c>
      <c r="B21" s="77" t="s">
        <v>728</v>
      </c>
      <c r="C21" s="78">
        <v>33.0</v>
      </c>
      <c r="D21" s="80" t="b">
        <v>1</v>
      </c>
      <c r="E21" s="89">
        <v>1.595780849E9</v>
      </c>
      <c r="F21" s="66">
        <f>IFERROR(__xludf.DUMMYFUNCTION("INDEX(SPLIT(E21, char(10)), 0, 1)/86400+date(1970,1,1)"),44038.685752314814)</f>
        <v>44038.68575</v>
      </c>
      <c r="G21" s="86" t="s">
        <v>840</v>
      </c>
      <c r="H21" s="86" t="s">
        <v>841</v>
      </c>
      <c r="I21" s="40" t="s">
        <v>17</v>
      </c>
    </row>
    <row r="22">
      <c r="A22" s="77" t="s">
        <v>7</v>
      </c>
      <c r="B22" s="77" t="s">
        <v>153</v>
      </c>
      <c r="C22" s="78">
        <v>45.0</v>
      </c>
      <c r="D22" s="80" t="b">
        <v>0</v>
      </c>
      <c r="E22" s="89">
        <v>1.595780939E9</v>
      </c>
      <c r="F22" s="66">
        <f>IFERROR(__xludf.DUMMYFUNCTION("INDEX(SPLIT(E22, char(10)), 0, 1)/86400+date(1970,1,1)"),44038.686793981484)</f>
        <v>44038.68679</v>
      </c>
      <c r="G22" s="86" t="s">
        <v>842</v>
      </c>
      <c r="H22" s="86" t="s">
        <v>843</v>
      </c>
      <c r="I22" s="40" t="s">
        <v>16</v>
      </c>
    </row>
    <row r="23">
      <c r="A23" s="77" t="s">
        <v>7</v>
      </c>
      <c r="B23" s="77" t="s">
        <v>156</v>
      </c>
      <c r="C23" s="78">
        <v>45.0</v>
      </c>
      <c r="D23" s="80" t="b">
        <v>1</v>
      </c>
      <c r="E23" s="89">
        <v>1.595781047E9</v>
      </c>
      <c r="F23" s="66">
        <f>IFERROR(__xludf.DUMMYFUNCTION("INDEX(SPLIT(E23, char(10)), 0, 1)/86400+date(1970,1,1)"),44038.688043981485)</f>
        <v>44038.68804</v>
      </c>
      <c r="G23" s="86" t="s">
        <v>844</v>
      </c>
      <c r="H23" s="86" t="s">
        <v>845</v>
      </c>
      <c r="I23" s="40" t="s">
        <v>75</v>
      </c>
    </row>
    <row r="24">
      <c r="A24" s="5" t="s">
        <v>8</v>
      </c>
      <c r="B24" s="5" t="s">
        <v>735</v>
      </c>
      <c r="C24" s="78">
        <v>58.0</v>
      </c>
      <c r="D24" s="80" t="b">
        <v>1</v>
      </c>
      <c r="E24" s="89">
        <v>1.59578122E9</v>
      </c>
      <c r="F24" s="66">
        <f>IFERROR(__xludf.DUMMYFUNCTION("INDEX(SPLIT(E24, char(10)), 0, 1)/86400+date(1970,1,1)"),44038.690046296295)</f>
        <v>44038.69005</v>
      </c>
      <c r="G24" s="86" t="s">
        <v>846</v>
      </c>
      <c r="H24" s="86" t="s">
        <v>847</v>
      </c>
      <c r="I24" s="40" t="s">
        <v>17</v>
      </c>
    </row>
    <row r="25">
      <c r="A25" s="77" t="s">
        <v>6</v>
      </c>
      <c r="B25" s="74" t="s">
        <v>738</v>
      </c>
      <c r="C25" s="78">
        <v>63.0</v>
      </c>
      <c r="D25" s="80" t="b">
        <v>1</v>
      </c>
      <c r="E25" s="89">
        <v>1.595781329E9</v>
      </c>
      <c r="F25" s="66">
        <f>IFERROR(__xludf.DUMMYFUNCTION("INDEX(SPLIT(E25, char(10)), 0, 1)/86400+date(1970,1,1)"),44038.691307870366)</f>
        <v>44038.69131</v>
      </c>
      <c r="G25" s="86" t="s">
        <v>848</v>
      </c>
      <c r="H25" s="86" t="s">
        <v>849</v>
      </c>
      <c r="I25" s="40" t="s">
        <v>16</v>
      </c>
    </row>
    <row r="26">
      <c r="A26" s="77" t="s">
        <v>6</v>
      </c>
      <c r="B26" s="74" t="s">
        <v>741</v>
      </c>
      <c r="C26" s="78">
        <v>69.0</v>
      </c>
      <c r="D26" s="80" t="b">
        <v>0</v>
      </c>
      <c r="E26" s="89">
        <v>1.595781484E9</v>
      </c>
      <c r="F26" s="66">
        <f>IFERROR(__xludf.DUMMYFUNCTION("INDEX(SPLIT(E26, char(10)), 0, 1)/86400+date(1970,1,1)"),44038.69310185185)</f>
        <v>44038.6931</v>
      </c>
      <c r="G26" s="86" t="s">
        <v>850</v>
      </c>
      <c r="H26" s="86" t="s">
        <v>851</v>
      </c>
      <c r="I26" s="40" t="s">
        <v>15</v>
      </c>
    </row>
    <row r="27">
      <c r="A27" s="77" t="s">
        <v>128</v>
      </c>
      <c r="B27" s="74" t="s">
        <v>744</v>
      </c>
      <c r="C27" s="78">
        <v>70.0</v>
      </c>
      <c r="D27" s="80" t="b">
        <v>1</v>
      </c>
      <c r="E27" s="89">
        <v>1.595781714E9</v>
      </c>
      <c r="F27" s="66">
        <f>IFERROR(__xludf.DUMMYFUNCTION("INDEX(SPLIT(E27, char(10)), 0, 1)/86400+date(1970,1,1)"),44038.695763888885)</f>
        <v>44038.69576</v>
      </c>
      <c r="G27" s="86" t="s">
        <v>852</v>
      </c>
      <c r="H27" s="86" t="s">
        <v>853</v>
      </c>
      <c r="I27" s="40" t="s">
        <v>17</v>
      </c>
    </row>
    <row r="28">
      <c r="A28" s="77" t="s">
        <v>8</v>
      </c>
      <c r="B28" s="74" t="s">
        <v>747</v>
      </c>
      <c r="C28" s="78">
        <v>73.0</v>
      </c>
      <c r="D28" s="80" t="b">
        <v>0</v>
      </c>
      <c r="E28" s="89">
        <v>1.595782367E9</v>
      </c>
      <c r="F28" s="66">
        <f>IFERROR(__xludf.DUMMYFUNCTION("INDEX(SPLIT(E28, char(10)), 0, 1)/86400+date(1970,1,1)"),44038.703321759254)</f>
        <v>44038.70332</v>
      </c>
      <c r="G28" s="86" t="s">
        <v>854</v>
      </c>
      <c r="H28" s="86" t="s">
        <v>855</v>
      </c>
      <c r="I28" s="40" t="s">
        <v>16</v>
      </c>
    </row>
    <row r="29">
      <c r="A29" s="77" t="s">
        <v>8</v>
      </c>
      <c r="B29" s="74" t="s">
        <v>750</v>
      </c>
      <c r="C29" s="78">
        <v>73.0</v>
      </c>
      <c r="D29" s="80" t="b">
        <v>0</v>
      </c>
      <c r="E29" s="89">
        <v>1.595782573E9</v>
      </c>
      <c r="F29" s="66">
        <f>IFERROR(__xludf.DUMMYFUNCTION("INDEX(SPLIT(E29, char(10)), 0, 1)/86400+date(1970,1,1)"),44038.70570601852)</f>
        <v>44038.70571</v>
      </c>
      <c r="G29" s="86" t="s">
        <v>856</v>
      </c>
      <c r="H29" s="86" t="s">
        <v>857</v>
      </c>
      <c r="I29" s="40" t="s">
        <v>14</v>
      </c>
    </row>
    <row r="30">
      <c r="A30" s="77" t="s">
        <v>8</v>
      </c>
      <c r="B30" s="74" t="s">
        <v>753</v>
      </c>
      <c r="C30" s="78">
        <v>73.0</v>
      </c>
      <c r="D30" s="80" t="b">
        <v>0</v>
      </c>
      <c r="E30" s="89">
        <v>1.595782665E9</v>
      </c>
      <c r="F30" s="66">
        <f>IFERROR(__xludf.DUMMYFUNCTION("INDEX(SPLIT(E30, char(10)), 0, 1)/86400+date(1970,1,1)"),44038.706770833334)</f>
        <v>44038.70677</v>
      </c>
      <c r="G30" s="86" t="s">
        <v>858</v>
      </c>
      <c r="H30" s="86" t="s">
        <v>859</v>
      </c>
      <c r="I30" s="40" t="s">
        <v>16</v>
      </c>
    </row>
    <row r="31">
      <c r="A31" s="77" t="s">
        <v>8</v>
      </c>
      <c r="B31" s="74" t="s">
        <v>756</v>
      </c>
      <c r="C31" s="78">
        <v>77.0</v>
      </c>
      <c r="D31" s="80" t="b">
        <v>1</v>
      </c>
      <c r="E31" s="89">
        <v>1.595782762E9</v>
      </c>
      <c r="F31" s="66">
        <f>IFERROR(__xludf.DUMMYFUNCTION("INDEX(SPLIT(E31, char(10)), 0, 1)/86400+date(1970,1,1)"),44038.70789351852)</f>
        <v>44038.70789</v>
      </c>
      <c r="G31" s="86" t="s">
        <v>860</v>
      </c>
      <c r="H31" s="86" t="s">
        <v>861</v>
      </c>
      <c r="I31" s="40" t="s">
        <v>16</v>
      </c>
    </row>
    <row r="32">
      <c r="A32" s="77" t="s">
        <v>6</v>
      </c>
      <c r="B32" s="74" t="s">
        <v>759</v>
      </c>
      <c r="C32" s="78">
        <v>83.0</v>
      </c>
      <c r="D32" s="80" t="b">
        <v>0</v>
      </c>
      <c r="F32" s="66"/>
      <c r="G32" s="86"/>
      <c r="H32" s="86"/>
      <c r="I32" s="41"/>
    </row>
    <row r="33">
      <c r="A33" s="77" t="s">
        <v>8</v>
      </c>
      <c r="B33" s="74" t="s">
        <v>762</v>
      </c>
      <c r="C33" s="78">
        <v>86.0</v>
      </c>
      <c r="D33" s="80" t="b">
        <v>0</v>
      </c>
      <c r="F33" s="66"/>
      <c r="G33" s="86"/>
      <c r="H33" s="86"/>
      <c r="I33" s="41"/>
    </row>
    <row r="34">
      <c r="A34" s="77" t="s">
        <v>8</v>
      </c>
      <c r="B34" s="74" t="s">
        <v>765</v>
      </c>
      <c r="C34" s="78">
        <v>88.0</v>
      </c>
      <c r="D34" s="80" t="b">
        <v>0</v>
      </c>
      <c r="F34" s="66"/>
      <c r="G34" s="86"/>
      <c r="H34" s="86"/>
      <c r="I34" s="41"/>
    </row>
    <row r="35">
      <c r="A35" s="77" t="s">
        <v>6</v>
      </c>
      <c r="B35" s="74" t="s">
        <v>768</v>
      </c>
      <c r="C35" s="78">
        <v>90.0</v>
      </c>
      <c r="D35" s="80" t="b">
        <v>0</v>
      </c>
      <c r="F35" s="66"/>
      <c r="G35" s="86"/>
      <c r="H35" s="86"/>
      <c r="I35" s="41"/>
    </row>
    <row r="36">
      <c r="A36" s="77" t="s">
        <v>6</v>
      </c>
      <c r="B36" s="74" t="s">
        <v>771</v>
      </c>
      <c r="C36" s="78">
        <v>92.0</v>
      </c>
      <c r="D36" s="80" t="b">
        <v>0</v>
      </c>
      <c r="F36" s="66"/>
      <c r="G36" s="86"/>
      <c r="H36" s="86"/>
      <c r="I36" s="41"/>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D44" s="71"/>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0.1142857143</v>
      </c>
      <c r="E2" s="89">
        <v>1.595775781E9</v>
      </c>
      <c r="F2" s="66">
        <f>IFERROR(__xludf.DUMMYFUNCTION("INDEX(SPLIT(E2, char(10)), 0, 1)/86400+date(1970,1,1)"),44038.62709490741)</f>
        <v>44038.62709</v>
      </c>
      <c r="G2" s="86" t="s">
        <v>862</v>
      </c>
      <c r="H2" s="86" t="s">
        <v>863</v>
      </c>
      <c r="I2" s="40" t="s">
        <v>17</v>
      </c>
      <c r="J2" s="40"/>
    </row>
    <row r="3">
      <c r="A3" s="40" t="s">
        <v>14</v>
      </c>
      <c r="B3" s="40" t="s">
        <v>99</v>
      </c>
      <c r="C3" s="40">
        <f t="shared" si="1"/>
        <v>1</v>
      </c>
      <c r="D3" s="64">
        <f t="shared" si="2"/>
        <v>0.02857142857</v>
      </c>
      <c r="E3" s="89">
        <v>1.595776098E9</v>
      </c>
      <c r="F3" s="66">
        <f>IFERROR(__xludf.DUMMYFUNCTION("INDEX(SPLIT(E3, char(10)), 0, 1)/86400+date(1970,1,1)"),44038.63076388889)</f>
        <v>44038.63076</v>
      </c>
      <c r="G3" s="86" t="s">
        <v>864</v>
      </c>
      <c r="H3" s="86" t="s">
        <v>865</v>
      </c>
      <c r="I3" s="40" t="s">
        <v>16</v>
      </c>
      <c r="J3" s="40"/>
    </row>
    <row r="4">
      <c r="A4" s="40" t="s">
        <v>15</v>
      </c>
      <c r="B4" s="40" t="s">
        <v>102</v>
      </c>
      <c r="C4" s="40">
        <f t="shared" si="1"/>
        <v>5</v>
      </c>
      <c r="D4" s="64">
        <f t="shared" si="2"/>
        <v>0.1428571429</v>
      </c>
      <c r="E4" s="89">
        <v>1.595776232E9</v>
      </c>
      <c r="F4" s="66">
        <f>IFERROR(__xludf.DUMMYFUNCTION("INDEX(SPLIT(E4, char(10)), 0, 1)/86400+date(1970,1,1)"),44038.632314814815)</f>
        <v>44038.63231</v>
      </c>
      <c r="G4" s="86" t="s">
        <v>866</v>
      </c>
      <c r="H4" s="86" t="s">
        <v>867</v>
      </c>
      <c r="I4" s="40" t="s">
        <v>17</v>
      </c>
      <c r="J4" s="40"/>
    </row>
    <row r="5">
      <c r="A5" s="40" t="s">
        <v>16</v>
      </c>
      <c r="B5" s="40" t="s">
        <v>105</v>
      </c>
      <c r="C5" s="40">
        <f t="shared" si="1"/>
        <v>10</v>
      </c>
      <c r="D5" s="64">
        <f t="shared" si="2"/>
        <v>0.2857142857</v>
      </c>
      <c r="E5" s="89">
        <v>1.595776508E9</v>
      </c>
      <c r="F5" s="66">
        <f>IFERROR(__xludf.DUMMYFUNCTION("INDEX(SPLIT(E5, char(10)), 0, 1)/86400+date(1970,1,1)"),44038.63550925926)</f>
        <v>44038.63551</v>
      </c>
      <c r="G5" s="86" t="s">
        <v>868</v>
      </c>
      <c r="H5" s="86" t="s">
        <v>869</v>
      </c>
      <c r="I5" s="40" t="s">
        <v>17</v>
      </c>
      <c r="J5" s="40"/>
    </row>
    <row r="6">
      <c r="A6" s="40" t="s">
        <v>17</v>
      </c>
      <c r="B6" s="40" t="s">
        <v>108</v>
      </c>
      <c r="C6" s="40">
        <f t="shared" si="1"/>
        <v>15</v>
      </c>
      <c r="D6" s="64">
        <f t="shared" si="2"/>
        <v>0.4285714286</v>
      </c>
      <c r="E6" s="89">
        <v>1.595776883E9</v>
      </c>
      <c r="F6" s="66">
        <f>IFERROR(__xludf.DUMMYFUNCTION("INDEX(SPLIT(E6, char(10)), 0, 1)/86400+date(1970,1,1)"),44038.63984953704)</f>
        <v>44038.63985</v>
      </c>
      <c r="G6" s="86" t="s">
        <v>870</v>
      </c>
      <c r="H6" s="86" t="s">
        <v>871</v>
      </c>
      <c r="I6" s="40" t="s">
        <v>17</v>
      </c>
    </row>
    <row r="7">
      <c r="B7" s="40" t="s">
        <v>13</v>
      </c>
      <c r="C7" s="69">
        <f t="shared" ref="C7:D7" si="3">SUM(C2:C6)</f>
        <v>35</v>
      </c>
      <c r="D7" s="70">
        <f t="shared" si="3"/>
        <v>1</v>
      </c>
      <c r="E7" s="89">
        <v>1.595777136E9</v>
      </c>
      <c r="F7" s="66">
        <f>IFERROR(__xludf.DUMMYFUNCTION("INDEX(SPLIT(E7, char(10)), 0, 1)/86400+date(1970,1,1)"),44038.64277777778)</f>
        <v>44038.64278</v>
      </c>
      <c r="G7" s="86" t="s">
        <v>872</v>
      </c>
      <c r="H7" s="86" t="s">
        <v>873</v>
      </c>
      <c r="I7" s="40" t="s">
        <v>14</v>
      </c>
    </row>
    <row r="8">
      <c r="A8" s="71"/>
      <c r="B8" s="40" t="s">
        <v>18</v>
      </c>
      <c r="C8" s="57">
        <f t="shared" ref="C8:D8" si="4">SUM(C5:C6)</f>
        <v>25</v>
      </c>
      <c r="D8" s="14">
        <f t="shared" si="4"/>
        <v>0.7142857143</v>
      </c>
      <c r="E8" s="89">
        <v>1.595777326E9</v>
      </c>
      <c r="F8" s="66">
        <f>IFERROR(__xludf.DUMMYFUNCTION("INDEX(SPLIT(E8, char(10)), 0, 1)/86400+date(1970,1,1)"),44038.64497685185)</f>
        <v>44038.64498</v>
      </c>
      <c r="G8" s="86" t="s">
        <v>874</v>
      </c>
      <c r="H8" s="86" t="s">
        <v>875</v>
      </c>
      <c r="I8" s="40" t="s">
        <v>17</v>
      </c>
    </row>
    <row r="9">
      <c r="A9" s="71"/>
      <c r="B9" s="40" t="s">
        <v>47</v>
      </c>
      <c r="C9" s="57">
        <f>SUM(C6:C7)</f>
        <v>50</v>
      </c>
      <c r="D9" s="14">
        <f>SUM(D5:D6) + D2</f>
        <v>0.8285714286</v>
      </c>
      <c r="E9" s="89">
        <v>1.595777485E9</v>
      </c>
      <c r="F9" s="66">
        <f>IFERROR(__xludf.DUMMYFUNCTION("INDEX(SPLIT(E9, char(10)), 0, 1)/86400+date(1970,1,1)"),44038.64681712963)</f>
        <v>44038.64682</v>
      </c>
      <c r="G9" s="86" t="s">
        <v>876</v>
      </c>
      <c r="H9" s="86" t="s">
        <v>877</v>
      </c>
      <c r="I9" s="40" t="s">
        <v>16</v>
      </c>
    </row>
    <row r="10">
      <c r="A10" s="71"/>
      <c r="B10" s="71"/>
      <c r="C10" s="71"/>
      <c r="D10" s="71"/>
      <c r="E10" s="89">
        <v>1.595777696E9</v>
      </c>
      <c r="F10" s="66">
        <f>IFERROR(__xludf.DUMMYFUNCTION("INDEX(SPLIT(E10, char(10)), 0, 1)/86400+date(1970,1,1)"),44038.649259259255)</f>
        <v>44038.64926</v>
      </c>
      <c r="G10" s="86" t="s">
        <v>878</v>
      </c>
      <c r="H10" s="86" t="s">
        <v>879</v>
      </c>
      <c r="I10" s="40" t="s">
        <v>17</v>
      </c>
    </row>
    <row r="11">
      <c r="A11" s="71"/>
      <c r="B11" s="71"/>
      <c r="C11" s="71"/>
      <c r="D11" s="71"/>
      <c r="E11" s="89">
        <v>1.595777787E9</v>
      </c>
      <c r="F11" s="66">
        <f>IFERROR(__xludf.DUMMYFUNCTION("INDEX(SPLIT(E11, char(10)), 0, 1)/86400+date(1970,1,1)"),44038.6503125)</f>
        <v>44038.65031</v>
      </c>
      <c r="G11" s="86" t="s">
        <v>880</v>
      </c>
      <c r="H11" s="86" t="s">
        <v>881</v>
      </c>
      <c r="I11" s="40" t="s">
        <v>75</v>
      </c>
    </row>
    <row r="12">
      <c r="A12" s="72" t="s">
        <v>121</v>
      </c>
      <c r="B12" s="73" t="s">
        <v>882</v>
      </c>
      <c r="C12" s="74"/>
      <c r="D12" s="74"/>
      <c r="E12" s="89">
        <v>1.59577813E9</v>
      </c>
      <c r="F12" s="66">
        <f>IFERROR(__xludf.DUMMYFUNCTION("INDEX(SPLIT(E12, char(10)), 0, 1)/86400+date(1970,1,1)"),44038.654282407406)</f>
        <v>44038.65428</v>
      </c>
      <c r="G12" s="86" t="s">
        <v>883</v>
      </c>
      <c r="H12" s="86" t="s">
        <v>884</v>
      </c>
      <c r="I12" s="40" t="s">
        <v>17</v>
      </c>
    </row>
    <row r="13">
      <c r="A13" s="72" t="s">
        <v>125</v>
      </c>
      <c r="B13" s="74"/>
      <c r="C13" s="72" t="s">
        <v>89</v>
      </c>
      <c r="D13" s="72" t="s">
        <v>90</v>
      </c>
      <c r="E13" s="89">
        <v>1.595778323E9</v>
      </c>
      <c r="F13" s="66">
        <f>IFERROR(__xludf.DUMMYFUNCTION("INDEX(SPLIT(E13, char(10)), 0, 1)/86400+date(1970,1,1)"),44038.6565162037)</f>
        <v>44038.65652</v>
      </c>
      <c r="G13" s="86" t="s">
        <v>885</v>
      </c>
      <c r="H13" s="86" t="s">
        <v>886</v>
      </c>
      <c r="I13" s="40" t="s">
        <v>15</v>
      </c>
    </row>
    <row r="14">
      <c r="A14" s="5" t="s">
        <v>128</v>
      </c>
      <c r="B14" s="5" t="s">
        <v>129</v>
      </c>
      <c r="C14" s="75">
        <f t="shared" ref="C14:C17" si="5">COUNTIF($A$19:$A1000, A14)</f>
        <v>3</v>
      </c>
      <c r="D14" s="76">
        <f>IFERROR(__xludf.DUMMYFUNCTION("IF(C14, COUNTIF(FILTER($D$19:$D1000, $A$19:$A1000=A14), TRUE)/C14, 0)"),1.0)</f>
        <v>1</v>
      </c>
      <c r="E14" s="89">
        <v>1.595778471E9</v>
      </c>
      <c r="F14" s="66">
        <f>IFERROR(__xludf.DUMMYFUNCTION("INDEX(SPLIT(E14, char(10)), 0, 1)/86400+date(1970,1,1)"),44038.65822916667)</f>
        <v>44038.65823</v>
      </c>
      <c r="G14" s="86" t="s">
        <v>887</v>
      </c>
      <c r="H14" s="86" t="s">
        <v>888</v>
      </c>
      <c r="I14" s="40" t="s">
        <v>16</v>
      </c>
    </row>
    <row r="15">
      <c r="A15" s="5" t="s">
        <v>6</v>
      </c>
      <c r="B15" s="5" t="s">
        <v>132</v>
      </c>
      <c r="C15" s="75">
        <f t="shared" si="5"/>
        <v>7</v>
      </c>
      <c r="D15" s="76">
        <f>IFERROR(__xludf.DUMMYFUNCTION("IF(C15, COUNTIF(FILTER($D$19:$D1000, $A$19:$A1000=A15), TRUE)/C15, 0)"),0.42857142857142855)</f>
        <v>0.4285714286</v>
      </c>
      <c r="E15" s="89">
        <v>1.595778601E9</v>
      </c>
      <c r="F15" s="66">
        <f>IFERROR(__xludf.DUMMYFUNCTION("INDEX(SPLIT(E15, char(10)), 0, 1)/86400+date(1970,1,1)"),44038.659733796296)</f>
        <v>44038.65973</v>
      </c>
      <c r="G15" s="86" t="s">
        <v>889</v>
      </c>
      <c r="H15" s="86" t="s">
        <v>890</v>
      </c>
      <c r="I15" s="40" t="s">
        <v>15</v>
      </c>
    </row>
    <row r="16">
      <c r="A16" s="5" t="s">
        <v>7</v>
      </c>
      <c r="B16" s="5" t="s">
        <v>135</v>
      </c>
      <c r="C16" s="75">
        <f t="shared" si="5"/>
        <v>4</v>
      </c>
      <c r="D16" s="76">
        <f>IFERROR(__xludf.DUMMYFUNCTION("IF(C16, COUNTIF(FILTER($D$19:$D1000, $A$19:$A1000=A16), TRUE)/C16, 0)"),0.5)</f>
        <v>0.5</v>
      </c>
      <c r="E16" s="89">
        <v>1.595778911E9</v>
      </c>
      <c r="F16" s="66">
        <f>IFERROR(__xludf.DUMMYFUNCTION("INDEX(SPLIT(E16, char(10)), 0, 1)/86400+date(1970,1,1)"),44038.66332175926)</f>
        <v>44038.66332</v>
      </c>
      <c r="G16" s="86" t="s">
        <v>891</v>
      </c>
      <c r="H16" s="86" t="s">
        <v>892</v>
      </c>
      <c r="I16" s="40" t="s">
        <v>15</v>
      </c>
    </row>
    <row r="17">
      <c r="A17" s="5" t="s">
        <v>8</v>
      </c>
      <c r="B17" s="5" t="s">
        <v>79</v>
      </c>
      <c r="C17" s="75">
        <f t="shared" si="5"/>
        <v>9</v>
      </c>
      <c r="D17" s="76">
        <f>IFERROR(__xludf.DUMMYFUNCTION("IF(C17, COUNTIF(FILTER($D$19:$D1000, $A$19:$A1000=A17), TRUE)/C17, 0)"),0.2222222222222222)</f>
        <v>0.2222222222</v>
      </c>
      <c r="E17" s="89">
        <v>1.595779034E9</v>
      </c>
      <c r="F17" s="66">
        <f>IFERROR(__xludf.DUMMYFUNCTION("INDEX(SPLIT(E17, char(10)), 0, 1)/86400+date(1970,1,1)"),44038.66474537037)</f>
        <v>44038.66475</v>
      </c>
      <c r="G17" s="86" t="s">
        <v>893</v>
      </c>
      <c r="H17" s="86" t="s">
        <v>894</v>
      </c>
      <c r="I17" s="40" t="s">
        <v>17</v>
      </c>
    </row>
    <row r="18">
      <c r="A18" s="74"/>
      <c r="B18" s="72" t="s">
        <v>9</v>
      </c>
      <c r="C18" s="75">
        <f>SUM(C14:C17)</f>
        <v>23</v>
      </c>
      <c r="D18" s="76">
        <f>COUNTIF($D$19:$D1000, TRUE)/SUM($C$14:$C$17)</f>
        <v>0.4347826087</v>
      </c>
      <c r="E18" s="89">
        <v>1.595779535E9</v>
      </c>
      <c r="F18" s="66">
        <f>IFERROR(__xludf.DUMMYFUNCTION("INDEX(SPLIT(E18, char(10)), 0, 1)/86400+date(1970,1,1)"),44038.67054398148)</f>
        <v>44038.67054</v>
      </c>
      <c r="G18" s="86" t="s">
        <v>895</v>
      </c>
      <c r="H18" s="86" t="s">
        <v>896</v>
      </c>
      <c r="I18" s="40" t="s">
        <v>17</v>
      </c>
    </row>
    <row r="19">
      <c r="A19" s="77" t="s">
        <v>7</v>
      </c>
      <c r="B19" s="77" t="s">
        <v>147</v>
      </c>
      <c r="C19" s="78">
        <v>1.0</v>
      </c>
      <c r="D19" s="80" t="b">
        <v>0</v>
      </c>
      <c r="E19" s="89">
        <v>1.595779754E9</v>
      </c>
      <c r="F19" s="66">
        <f>IFERROR(__xludf.DUMMYFUNCTION("INDEX(SPLIT(E19, char(10)), 0, 1)/86400+date(1970,1,1)"),44038.67307870371)</f>
        <v>44038.67308</v>
      </c>
      <c r="G19" s="86" t="s">
        <v>897</v>
      </c>
      <c r="H19" s="86" t="s">
        <v>898</v>
      </c>
      <c r="I19" s="40" t="s">
        <v>15</v>
      </c>
    </row>
    <row r="20">
      <c r="A20" s="77" t="s">
        <v>6</v>
      </c>
      <c r="B20" s="77" t="s">
        <v>725</v>
      </c>
      <c r="C20" s="78">
        <v>9.0</v>
      </c>
      <c r="D20" s="80" t="b">
        <v>1</v>
      </c>
      <c r="E20" s="89">
        <v>1.595779923E9</v>
      </c>
      <c r="F20" s="66">
        <f>IFERROR(__xludf.DUMMYFUNCTION("INDEX(SPLIT(E20, char(10)), 0, 1)/86400+date(1970,1,1)"),44038.675034722226)</f>
        <v>44038.67503</v>
      </c>
      <c r="G20" s="86" t="s">
        <v>899</v>
      </c>
      <c r="H20" s="86" t="s">
        <v>900</v>
      </c>
      <c r="I20" s="40" t="s">
        <v>15</v>
      </c>
    </row>
    <row r="21">
      <c r="A21" s="77" t="s">
        <v>128</v>
      </c>
      <c r="B21" s="77" t="s">
        <v>728</v>
      </c>
      <c r="C21" s="78">
        <v>33.0</v>
      </c>
      <c r="D21" s="80" t="b">
        <v>1</v>
      </c>
      <c r="E21" s="89">
        <v>1.59578015E9</v>
      </c>
      <c r="F21" s="66">
        <f>IFERROR(__xludf.DUMMYFUNCTION("INDEX(SPLIT(E21, char(10)), 0, 1)/86400+date(1970,1,1)"),44038.67766203704)</f>
        <v>44038.67766</v>
      </c>
      <c r="G21" s="86" t="s">
        <v>901</v>
      </c>
      <c r="H21" s="86" t="s">
        <v>902</v>
      </c>
      <c r="I21" s="40" t="s">
        <v>16</v>
      </c>
    </row>
    <row r="22">
      <c r="A22" s="77" t="s">
        <v>7</v>
      </c>
      <c r="B22" s="77" t="s">
        <v>153</v>
      </c>
      <c r="C22" s="78">
        <v>45.0</v>
      </c>
      <c r="D22" s="80" t="b">
        <v>1</v>
      </c>
      <c r="E22" s="89">
        <v>1.595780329E9</v>
      </c>
      <c r="F22" s="66">
        <f>IFERROR(__xludf.DUMMYFUNCTION("INDEX(SPLIT(E22, char(10)), 0, 1)/86400+date(1970,1,1)"),44038.67973379629)</f>
        <v>44038.67973</v>
      </c>
      <c r="G22" s="86" t="s">
        <v>903</v>
      </c>
      <c r="H22" s="86" t="s">
        <v>904</v>
      </c>
      <c r="I22" s="40" t="s">
        <v>17</v>
      </c>
    </row>
    <row r="23">
      <c r="A23" s="77" t="s">
        <v>7</v>
      </c>
      <c r="B23" s="77" t="s">
        <v>156</v>
      </c>
      <c r="C23" s="78">
        <v>45.0</v>
      </c>
      <c r="D23" s="80" t="b">
        <v>0</v>
      </c>
      <c r="E23" s="89">
        <v>1.595780524E9</v>
      </c>
      <c r="F23" s="66">
        <f>IFERROR(__xludf.DUMMYFUNCTION("INDEX(SPLIT(E23, char(10)), 0, 1)/86400+date(1970,1,1)"),44038.68199074074)</f>
        <v>44038.68199</v>
      </c>
      <c r="G23" s="86" t="s">
        <v>905</v>
      </c>
      <c r="H23" s="86" t="s">
        <v>906</v>
      </c>
      <c r="I23" s="40" t="s">
        <v>16</v>
      </c>
    </row>
    <row r="24">
      <c r="A24" s="5" t="s">
        <v>8</v>
      </c>
      <c r="B24" s="5" t="s">
        <v>735</v>
      </c>
      <c r="C24" s="78">
        <v>58.0</v>
      </c>
      <c r="D24" s="80" t="b">
        <v>1</v>
      </c>
      <c r="E24" s="89">
        <v>1.595780642E9</v>
      </c>
      <c r="F24" s="66">
        <f>IFERROR(__xludf.DUMMYFUNCTION("INDEX(SPLIT(E24, char(10)), 0, 1)/86400+date(1970,1,1)"),44038.68335648148)</f>
        <v>44038.68336</v>
      </c>
      <c r="G24" s="86" t="s">
        <v>907</v>
      </c>
      <c r="H24" s="86" t="s">
        <v>908</v>
      </c>
      <c r="I24" s="40" t="s">
        <v>17</v>
      </c>
    </row>
    <row r="25">
      <c r="A25" s="77" t="s">
        <v>6</v>
      </c>
      <c r="B25" s="74" t="s">
        <v>738</v>
      </c>
      <c r="C25" s="78">
        <v>63.0</v>
      </c>
      <c r="D25" s="80" t="b">
        <v>1</v>
      </c>
      <c r="E25" s="89">
        <v>1.595780826E9</v>
      </c>
      <c r="F25" s="66">
        <f>IFERROR(__xludf.DUMMYFUNCTION("INDEX(SPLIT(E25, char(10)), 0, 1)/86400+date(1970,1,1)"),44038.685486111106)</f>
        <v>44038.68549</v>
      </c>
      <c r="G25" s="86" t="s">
        <v>909</v>
      </c>
      <c r="H25" s="86" t="s">
        <v>910</v>
      </c>
      <c r="I25" s="40" t="s">
        <v>17</v>
      </c>
    </row>
    <row r="26">
      <c r="A26" s="77" t="s">
        <v>6</v>
      </c>
      <c r="B26" s="74" t="s">
        <v>741</v>
      </c>
      <c r="C26" s="78">
        <v>69.0</v>
      </c>
      <c r="D26" s="80" t="b">
        <v>0</v>
      </c>
      <c r="E26" s="89">
        <v>1.595780925E9</v>
      </c>
      <c r="F26" s="66">
        <f>IFERROR(__xludf.DUMMYFUNCTION("INDEX(SPLIT(E26, char(10)), 0, 1)/86400+date(1970,1,1)"),44038.686631944445)</f>
        <v>44038.68663</v>
      </c>
      <c r="G26" s="86" t="s">
        <v>911</v>
      </c>
      <c r="H26" s="86" t="s">
        <v>912</v>
      </c>
      <c r="I26" s="40" t="s">
        <v>16</v>
      </c>
    </row>
    <row r="27">
      <c r="A27" s="77" t="s">
        <v>128</v>
      </c>
      <c r="B27" s="74" t="s">
        <v>744</v>
      </c>
      <c r="C27" s="78">
        <v>70.0</v>
      </c>
      <c r="D27" s="80" t="b">
        <v>1</v>
      </c>
      <c r="E27" s="89">
        <v>1.595781098E9</v>
      </c>
      <c r="F27" s="66">
        <f>IFERROR(__xludf.DUMMYFUNCTION("INDEX(SPLIT(E27, char(10)), 0, 1)/86400+date(1970,1,1)"),44038.68863425926)</f>
        <v>44038.68863</v>
      </c>
      <c r="G27" s="86" t="s">
        <v>913</v>
      </c>
      <c r="H27" s="86" t="s">
        <v>914</v>
      </c>
      <c r="I27" s="40" t="s">
        <v>17</v>
      </c>
    </row>
    <row r="28">
      <c r="A28" s="77" t="s">
        <v>8</v>
      </c>
      <c r="B28" s="74" t="s">
        <v>747</v>
      </c>
      <c r="C28" s="78">
        <v>73.0</v>
      </c>
      <c r="D28" s="80" t="b">
        <v>0</v>
      </c>
      <c r="E28" s="89">
        <v>1.595781188E9</v>
      </c>
      <c r="F28" s="66">
        <f>IFERROR(__xludf.DUMMYFUNCTION("INDEX(SPLIT(E28, char(10)), 0, 1)/86400+date(1970,1,1)"),44038.689675925925)</f>
        <v>44038.68968</v>
      </c>
      <c r="G28" s="86" t="s">
        <v>915</v>
      </c>
      <c r="H28" s="86" t="s">
        <v>916</v>
      </c>
      <c r="I28" s="40" t="s">
        <v>17</v>
      </c>
    </row>
    <row r="29">
      <c r="A29" s="77" t="s">
        <v>8</v>
      </c>
      <c r="B29" s="74" t="s">
        <v>750</v>
      </c>
      <c r="C29" s="78">
        <v>73.0</v>
      </c>
      <c r="D29" s="80" t="b">
        <v>0</v>
      </c>
      <c r="E29" s="89">
        <v>1.595781286E9</v>
      </c>
      <c r="F29" s="66">
        <f>IFERROR(__xludf.DUMMYFUNCTION("INDEX(SPLIT(E29, char(10)), 0, 1)/86400+date(1970,1,1)"),44038.69081018519)</f>
        <v>44038.69081</v>
      </c>
      <c r="G29" s="86" t="s">
        <v>917</v>
      </c>
      <c r="H29" s="86" t="s">
        <v>918</v>
      </c>
      <c r="I29" s="40" t="s">
        <v>16</v>
      </c>
    </row>
    <row r="30">
      <c r="A30" s="77" t="s">
        <v>8</v>
      </c>
      <c r="B30" s="74" t="s">
        <v>753</v>
      </c>
      <c r="C30" s="78">
        <v>73.0</v>
      </c>
      <c r="D30" s="80" t="b">
        <v>0</v>
      </c>
      <c r="E30" s="89">
        <v>1.595781426E9</v>
      </c>
      <c r="F30" s="66">
        <f>IFERROR(__xludf.DUMMYFUNCTION("INDEX(SPLIT(E30, char(10)), 0, 1)/86400+date(1970,1,1)"),44038.69243055556)</f>
        <v>44038.69243</v>
      </c>
      <c r="G30" s="86" t="s">
        <v>919</v>
      </c>
      <c r="H30" s="86" t="s">
        <v>920</v>
      </c>
      <c r="I30" s="40" t="s">
        <v>75</v>
      </c>
    </row>
    <row r="31">
      <c r="A31" s="77" t="s">
        <v>8</v>
      </c>
      <c r="B31" s="74" t="s">
        <v>756</v>
      </c>
      <c r="C31" s="78">
        <v>77.0</v>
      </c>
      <c r="D31" s="80" t="b">
        <v>1</v>
      </c>
      <c r="E31" s="89">
        <v>1.595781537E9</v>
      </c>
      <c r="F31" s="66">
        <f>IFERROR(__xludf.DUMMYFUNCTION("INDEX(SPLIT(E31, char(10)), 0, 1)/86400+date(1970,1,1)"),44038.69371527778)</f>
        <v>44038.69372</v>
      </c>
      <c r="G31" s="86" t="s">
        <v>921</v>
      </c>
      <c r="H31" s="86" t="s">
        <v>922</v>
      </c>
      <c r="I31" s="40" t="s">
        <v>75</v>
      </c>
    </row>
    <row r="32">
      <c r="A32" s="77" t="s">
        <v>6</v>
      </c>
      <c r="B32" s="74" t="s">
        <v>759</v>
      </c>
      <c r="C32" s="78">
        <v>83.0</v>
      </c>
      <c r="D32" s="80" t="b">
        <v>0</v>
      </c>
      <c r="E32" s="89">
        <v>1.595781696E9</v>
      </c>
      <c r="F32" s="66">
        <f>IFERROR(__xludf.DUMMYFUNCTION("INDEX(SPLIT(E32, char(10)), 0, 1)/86400+date(1970,1,1)"),44038.695555555554)</f>
        <v>44038.69556</v>
      </c>
      <c r="G32" s="86" t="s">
        <v>923</v>
      </c>
      <c r="H32" s="86" t="s">
        <v>924</v>
      </c>
      <c r="I32" s="40" t="s">
        <v>17</v>
      </c>
    </row>
    <row r="33">
      <c r="A33" s="77" t="s">
        <v>8</v>
      </c>
      <c r="B33" s="74" t="s">
        <v>762</v>
      </c>
      <c r="C33" s="78">
        <v>86.0</v>
      </c>
      <c r="D33" s="80" t="b">
        <v>0</v>
      </c>
      <c r="E33" s="89">
        <v>1.595782244E9</v>
      </c>
      <c r="F33" s="66">
        <f>IFERROR(__xludf.DUMMYFUNCTION("INDEX(SPLIT(E33, char(10)), 0, 1)/86400+date(1970,1,1)"),44038.70189814815)</f>
        <v>44038.7019</v>
      </c>
      <c r="G33" s="86" t="s">
        <v>925</v>
      </c>
      <c r="H33" s="86" t="s">
        <v>926</v>
      </c>
      <c r="I33" s="40" t="s">
        <v>16</v>
      </c>
    </row>
    <row r="34">
      <c r="A34" s="77" t="s">
        <v>8</v>
      </c>
      <c r="B34" s="74" t="s">
        <v>765</v>
      </c>
      <c r="C34" s="78">
        <v>88.0</v>
      </c>
      <c r="D34" s="80" t="b">
        <v>0</v>
      </c>
      <c r="E34" s="89">
        <v>1.595782383E9</v>
      </c>
      <c r="F34" s="66">
        <f>IFERROR(__xludf.DUMMYFUNCTION("INDEX(SPLIT(E34, char(10)), 0, 1)/86400+date(1970,1,1)"),44038.70350694444)</f>
        <v>44038.70351</v>
      </c>
      <c r="G34" s="86" t="s">
        <v>927</v>
      </c>
      <c r="H34" s="86" t="s">
        <v>928</v>
      </c>
      <c r="I34" s="40" t="s">
        <v>75</v>
      </c>
    </row>
    <row r="35">
      <c r="A35" s="77" t="s">
        <v>6</v>
      </c>
      <c r="B35" s="74" t="s">
        <v>768</v>
      </c>
      <c r="C35" s="78">
        <v>90.0</v>
      </c>
      <c r="D35" s="80" t="b">
        <v>0</v>
      </c>
      <c r="E35" s="89">
        <v>1.595782564E9</v>
      </c>
      <c r="F35" s="66">
        <f>IFERROR(__xludf.DUMMYFUNCTION("INDEX(SPLIT(E35, char(10)), 0, 1)/86400+date(1970,1,1)"),44038.70560185185)</f>
        <v>44038.7056</v>
      </c>
      <c r="G35" s="86" t="s">
        <v>929</v>
      </c>
      <c r="H35" s="86" t="s">
        <v>930</v>
      </c>
      <c r="I35" s="40" t="s">
        <v>16</v>
      </c>
    </row>
    <row r="36">
      <c r="A36" s="77" t="s">
        <v>6</v>
      </c>
      <c r="B36" s="74" t="s">
        <v>771</v>
      </c>
      <c r="C36" s="78">
        <v>92.0</v>
      </c>
      <c r="D36" s="80" t="b">
        <v>0</v>
      </c>
      <c r="E36" s="89">
        <v>1.595782698E9</v>
      </c>
      <c r="F36" s="66">
        <f>IFERROR(__xludf.DUMMYFUNCTION("INDEX(SPLIT(E36, char(10)), 0, 1)/86400+date(1970,1,1)"),44038.70715277777)</f>
        <v>44038.70715</v>
      </c>
      <c r="G36" s="86" t="s">
        <v>931</v>
      </c>
      <c r="H36" s="86" t="s">
        <v>932</v>
      </c>
      <c r="I36" s="40" t="s">
        <v>16</v>
      </c>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66"/>
      <c r="G51" s="86"/>
      <c r="H51" s="86"/>
      <c r="I51" s="41"/>
    </row>
    <row r="52">
      <c r="F52" s="66"/>
      <c r="G52" s="86"/>
      <c r="H52" s="86"/>
    </row>
    <row r="53">
      <c r="F53" s="66"/>
      <c r="G53" s="86"/>
      <c r="H53" s="86"/>
    </row>
    <row r="54">
      <c r="F54" s="66"/>
      <c r="G54" s="86"/>
      <c r="H54" s="86"/>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0.125</v>
      </c>
      <c r="E2" s="40">
        <v>1.623676606E9</v>
      </c>
      <c r="F2" s="66">
        <f>IFERROR(__xludf.DUMMYFUNCTION("INDEX(SPLIT(E2, char(10)), 0, 1)/86400+date(1970,1,1)"),44361.55331018519)</f>
        <v>44361.55331</v>
      </c>
      <c r="G2" s="86" t="s">
        <v>933</v>
      </c>
      <c r="H2" s="86" t="s">
        <v>934</v>
      </c>
      <c r="I2" s="40" t="s">
        <v>15</v>
      </c>
      <c r="J2" s="40"/>
    </row>
    <row r="3">
      <c r="A3" s="40" t="s">
        <v>14</v>
      </c>
      <c r="B3" s="40" t="s">
        <v>99</v>
      </c>
      <c r="C3" s="40">
        <f t="shared" si="1"/>
        <v>5</v>
      </c>
      <c r="D3" s="64">
        <f t="shared" si="2"/>
        <v>0.15625</v>
      </c>
      <c r="E3" s="40">
        <v>1.623676764E9</v>
      </c>
      <c r="F3" s="66">
        <f>IFERROR(__xludf.DUMMYFUNCTION("INDEX(SPLIT(E3, char(10)), 0, 1)/86400+date(1970,1,1)"),44361.555138888885)</f>
        <v>44361.55514</v>
      </c>
      <c r="G3" s="86" t="s">
        <v>935</v>
      </c>
      <c r="H3" s="86" t="s">
        <v>936</v>
      </c>
      <c r="I3" s="40" t="s">
        <v>17</v>
      </c>
      <c r="J3" s="40"/>
    </row>
    <row r="4">
      <c r="A4" s="40" t="s">
        <v>15</v>
      </c>
      <c r="B4" s="40" t="s">
        <v>102</v>
      </c>
      <c r="C4" s="40">
        <f t="shared" si="1"/>
        <v>9</v>
      </c>
      <c r="D4" s="64">
        <f t="shared" si="2"/>
        <v>0.28125</v>
      </c>
      <c r="E4" s="40">
        <v>1.623676927E9</v>
      </c>
      <c r="F4" s="66">
        <f>IFERROR(__xludf.DUMMYFUNCTION("INDEX(SPLIT(E4, char(10)), 0, 1)/86400+date(1970,1,1)"),44361.557025462964)</f>
        <v>44361.55703</v>
      </c>
      <c r="G4" s="86" t="s">
        <v>937</v>
      </c>
      <c r="H4" s="86" t="s">
        <v>938</v>
      </c>
      <c r="I4" s="40" t="s">
        <v>14</v>
      </c>
      <c r="J4" s="40"/>
    </row>
    <row r="5">
      <c r="A5" s="40" t="s">
        <v>16</v>
      </c>
      <c r="B5" s="40" t="s">
        <v>105</v>
      </c>
      <c r="C5" s="40">
        <f t="shared" si="1"/>
        <v>8</v>
      </c>
      <c r="D5" s="64">
        <f t="shared" si="2"/>
        <v>0.25</v>
      </c>
      <c r="E5" s="40">
        <v>1.623677548E9</v>
      </c>
      <c r="F5" s="66">
        <f>IFERROR(__xludf.DUMMYFUNCTION("INDEX(SPLIT(E5, char(10)), 0, 1)/86400+date(1970,1,1)"),44361.56421296296)</f>
        <v>44361.56421</v>
      </c>
      <c r="G5" s="86" t="s">
        <v>939</v>
      </c>
      <c r="H5" s="86" t="s">
        <v>940</v>
      </c>
      <c r="I5" s="40" t="s">
        <v>17</v>
      </c>
      <c r="J5" s="40"/>
    </row>
    <row r="6">
      <c r="A6" s="40" t="s">
        <v>17</v>
      </c>
      <c r="B6" s="40" t="s">
        <v>108</v>
      </c>
      <c r="C6" s="40">
        <f t="shared" si="1"/>
        <v>6</v>
      </c>
      <c r="D6" s="64">
        <f t="shared" si="2"/>
        <v>0.1875</v>
      </c>
      <c r="E6" s="40">
        <v>1.623677694E9</v>
      </c>
      <c r="F6" s="66">
        <f>IFERROR(__xludf.DUMMYFUNCTION("INDEX(SPLIT(E6, char(10)), 0, 1)/86400+date(1970,1,1)"),44361.56590277777)</f>
        <v>44361.5659</v>
      </c>
      <c r="G6" s="86" t="s">
        <v>941</v>
      </c>
      <c r="H6" s="86" t="s">
        <v>942</v>
      </c>
      <c r="I6" s="40" t="s">
        <v>15</v>
      </c>
    </row>
    <row r="7">
      <c r="B7" s="40" t="s">
        <v>13</v>
      </c>
      <c r="C7" s="69">
        <f t="shared" ref="C7:D7" si="3">SUM(C2:C6)</f>
        <v>32</v>
      </c>
      <c r="D7" s="70">
        <f t="shared" si="3"/>
        <v>1</v>
      </c>
      <c r="E7" s="40">
        <v>1.623678172E9</v>
      </c>
      <c r="F7" s="66">
        <f>IFERROR(__xludf.DUMMYFUNCTION("INDEX(SPLIT(E7, char(10)), 0, 1)/86400+date(1970,1,1)"),44361.571435185186)</f>
        <v>44361.57144</v>
      </c>
      <c r="G7" s="86" t="s">
        <v>943</v>
      </c>
      <c r="H7" s="86" t="s">
        <v>944</v>
      </c>
      <c r="I7" s="40" t="s">
        <v>16</v>
      </c>
    </row>
    <row r="8">
      <c r="A8" s="71"/>
      <c r="B8" s="40" t="s">
        <v>18</v>
      </c>
      <c r="C8" s="57">
        <f t="shared" ref="C8:D8" si="4">SUM(C5:C6)</f>
        <v>14</v>
      </c>
      <c r="D8" s="14">
        <f t="shared" si="4"/>
        <v>0.4375</v>
      </c>
      <c r="E8" s="40">
        <v>1.623678272E9</v>
      </c>
      <c r="F8" s="66">
        <f>IFERROR(__xludf.DUMMYFUNCTION("INDEX(SPLIT(E8, char(10)), 0, 1)/86400+date(1970,1,1)"),44361.572592592594)</f>
        <v>44361.57259</v>
      </c>
      <c r="G8" s="86" t="s">
        <v>945</v>
      </c>
      <c r="H8" s="86" t="s">
        <v>946</v>
      </c>
      <c r="I8" s="40" t="s">
        <v>15</v>
      </c>
    </row>
    <row r="9">
      <c r="A9" s="71"/>
      <c r="B9" s="40" t="s">
        <v>47</v>
      </c>
      <c r="C9" s="57">
        <f>SUM(C6:C7)</f>
        <v>38</v>
      </c>
      <c r="D9" s="14">
        <f>SUM(D5:D6) + D2</f>
        <v>0.5625</v>
      </c>
      <c r="E9" s="40">
        <v>1.623678456E9</v>
      </c>
      <c r="F9" s="66">
        <f>IFERROR(__xludf.DUMMYFUNCTION("INDEX(SPLIT(E9, char(10)), 0, 1)/86400+date(1970,1,1)"),44361.57472222223)</f>
        <v>44361.57472</v>
      </c>
      <c r="G9" s="86" t="s">
        <v>947</v>
      </c>
      <c r="H9" s="86" t="s">
        <v>948</v>
      </c>
      <c r="I9" s="40" t="s">
        <v>17</v>
      </c>
    </row>
    <row r="10">
      <c r="A10" s="71"/>
      <c r="B10" s="71"/>
      <c r="C10" s="71"/>
      <c r="D10" s="71"/>
      <c r="E10" s="40">
        <v>1.623678563E9</v>
      </c>
      <c r="F10" s="66">
        <f>IFERROR(__xludf.DUMMYFUNCTION("INDEX(SPLIT(E10, char(10)), 0, 1)/86400+date(1970,1,1)"),44361.575960648144)</f>
        <v>44361.57596</v>
      </c>
      <c r="G10" s="86" t="s">
        <v>949</v>
      </c>
      <c r="H10" s="86" t="s">
        <v>950</v>
      </c>
      <c r="I10" s="40" t="s">
        <v>15</v>
      </c>
    </row>
    <row r="11">
      <c r="A11" s="71"/>
      <c r="B11" s="71"/>
      <c r="C11" s="71"/>
      <c r="D11" s="71"/>
      <c r="E11" s="40">
        <v>1.623678698E9</v>
      </c>
      <c r="F11" s="66">
        <f>IFERROR(__xludf.DUMMYFUNCTION("INDEX(SPLIT(E11, char(10)), 0, 1)/86400+date(1970,1,1)"),44361.57752314815)</f>
        <v>44361.57752</v>
      </c>
      <c r="G11" s="86" t="s">
        <v>951</v>
      </c>
      <c r="H11" s="86" t="s">
        <v>952</v>
      </c>
      <c r="I11" s="40" t="s">
        <v>14</v>
      </c>
    </row>
    <row r="12">
      <c r="A12" s="72" t="s">
        <v>121</v>
      </c>
      <c r="B12" s="90" t="s">
        <v>953</v>
      </c>
      <c r="C12" s="74"/>
      <c r="D12" s="74"/>
      <c r="E12" s="40">
        <v>1.623679022E9</v>
      </c>
      <c r="F12" s="66">
        <f>IFERROR(__xludf.DUMMYFUNCTION("INDEX(SPLIT(E12, char(10)), 0, 1)/86400+date(1970,1,1)"),44361.58127314815)</f>
        <v>44361.58127</v>
      </c>
      <c r="G12" s="86" t="s">
        <v>327</v>
      </c>
      <c r="H12" s="86" t="s">
        <v>954</v>
      </c>
      <c r="I12" s="40" t="s">
        <v>15</v>
      </c>
    </row>
    <row r="13">
      <c r="A13" s="72" t="s">
        <v>125</v>
      </c>
      <c r="B13" s="74"/>
      <c r="C13" s="72" t="s">
        <v>89</v>
      </c>
      <c r="D13" s="72" t="s">
        <v>90</v>
      </c>
      <c r="E13" s="40">
        <v>1.623679323E9</v>
      </c>
      <c r="F13" s="66">
        <f>IFERROR(__xludf.DUMMYFUNCTION("INDEX(SPLIT(E13, char(10)), 0, 1)/86400+date(1970,1,1)"),44361.584756944445)</f>
        <v>44361.58476</v>
      </c>
      <c r="G13" s="86" t="s">
        <v>955</v>
      </c>
      <c r="H13" s="86" t="s">
        <v>956</v>
      </c>
      <c r="I13" s="40" t="s">
        <v>16</v>
      </c>
    </row>
    <row r="14">
      <c r="A14" s="5" t="s">
        <v>128</v>
      </c>
      <c r="B14" s="5" t="s">
        <v>129</v>
      </c>
      <c r="C14" s="75">
        <f t="shared" ref="C14:C17" si="5">COUNTIF($A$19:$A1000, A14)</f>
        <v>2</v>
      </c>
      <c r="D14" s="76">
        <f>IFERROR(__xludf.DUMMYFUNCTION("IF(C14, COUNTIF(FILTER($D$19:$D1000, $A$19:$A1000=A14), TRUE)/C14, 0)"),1.0)</f>
        <v>1</v>
      </c>
      <c r="E14" s="40">
        <v>1.623679483E9</v>
      </c>
      <c r="F14" s="66">
        <f>IFERROR(__xludf.DUMMYFUNCTION("INDEX(SPLIT(E14, char(10)), 0, 1)/86400+date(1970,1,1)"),44361.58660879629)</f>
        <v>44361.58661</v>
      </c>
      <c r="G14" s="86" t="s">
        <v>957</v>
      </c>
      <c r="H14" s="86" t="s">
        <v>958</v>
      </c>
      <c r="I14" s="40" t="s">
        <v>17</v>
      </c>
    </row>
    <row r="15">
      <c r="A15" s="5" t="s">
        <v>6</v>
      </c>
      <c r="B15" s="5" t="s">
        <v>132</v>
      </c>
      <c r="C15" s="75">
        <f t="shared" si="5"/>
        <v>0</v>
      </c>
      <c r="D15" s="76">
        <f>IFERROR(__xludf.DUMMYFUNCTION("IF(C15, COUNTIF(FILTER($D$19:$D1000, $A$19:$A1000=A15), TRUE)/C15, 0)"),0.0)</f>
        <v>0</v>
      </c>
      <c r="E15" s="40">
        <v>1.623679587E9</v>
      </c>
      <c r="F15" s="66">
        <f>IFERROR(__xludf.DUMMYFUNCTION("INDEX(SPLIT(E15, char(10)), 0, 1)/86400+date(1970,1,1)"),44361.5878125)</f>
        <v>44361.58781</v>
      </c>
      <c r="G15" s="86" t="s">
        <v>959</v>
      </c>
      <c r="H15" s="86" t="s">
        <v>960</v>
      </c>
      <c r="I15" s="40" t="s">
        <v>14</v>
      </c>
    </row>
    <row r="16">
      <c r="A16" s="5" t="s">
        <v>7</v>
      </c>
      <c r="B16" s="5" t="s">
        <v>135</v>
      </c>
      <c r="C16" s="75">
        <f t="shared" si="5"/>
        <v>4</v>
      </c>
      <c r="D16" s="76">
        <f>IFERROR(__xludf.DUMMYFUNCTION("IF(C16, COUNTIF(FILTER($D$19:$D1000, $A$19:$A1000=A16), TRUE)/C16, 0)"),0.25)</f>
        <v>0.25</v>
      </c>
      <c r="E16" s="40">
        <v>1.623679689E9</v>
      </c>
      <c r="F16" s="66">
        <f>IFERROR(__xludf.DUMMYFUNCTION("INDEX(SPLIT(E16, char(10)), 0, 1)/86400+date(1970,1,1)"),44361.58899305556)</f>
        <v>44361.58899</v>
      </c>
      <c r="G16" s="86" t="s">
        <v>961</v>
      </c>
      <c r="H16" s="86" t="s">
        <v>962</v>
      </c>
      <c r="I16" s="40" t="s">
        <v>16</v>
      </c>
    </row>
    <row r="17">
      <c r="A17" s="5" t="s">
        <v>8</v>
      </c>
      <c r="B17" s="5" t="s">
        <v>79</v>
      </c>
      <c r="C17" s="75">
        <f t="shared" si="5"/>
        <v>10</v>
      </c>
      <c r="D17" s="76">
        <f>IFERROR(__xludf.DUMMYFUNCTION("IF(C17, COUNTIF(FILTER($D$19:$D1000, $A$19:$A1000=A17), TRUE)/C17, 0)"),0.6)</f>
        <v>0.6</v>
      </c>
      <c r="E17" s="40">
        <v>1.623679789E9</v>
      </c>
      <c r="F17" s="66">
        <f>IFERROR(__xludf.DUMMYFUNCTION("INDEX(SPLIT(E17, char(10)), 0, 1)/86400+date(1970,1,1)"),44361.59015046296)</f>
        <v>44361.59015</v>
      </c>
      <c r="G17" s="86" t="s">
        <v>963</v>
      </c>
      <c r="H17" s="86" t="s">
        <v>964</v>
      </c>
      <c r="I17" s="40" t="s">
        <v>14</v>
      </c>
    </row>
    <row r="18">
      <c r="A18" s="74"/>
      <c r="B18" s="72" t="s">
        <v>9</v>
      </c>
      <c r="C18" s="75">
        <f>SUM(C14:C17)</f>
        <v>16</v>
      </c>
      <c r="D18" s="76">
        <f>COUNTIF($D$19:$D1000, TRUE)/SUM($C$14:$C$17)</f>
        <v>0.5625</v>
      </c>
      <c r="E18" s="40">
        <v>1.62367988E9</v>
      </c>
      <c r="F18" s="66">
        <f>IFERROR(__xludf.DUMMYFUNCTION("INDEX(SPLIT(E18, char(10)), 0, 1)/86400+date(1970,1,1)"),44361.591203703705)</f>
        <v>44361.5912</v>
      </c>
      <c r="G18" s="86" t="s">
        <v>965</v>
      </c>
      <c r="H18" s="86" t="s">
        <v>966</v>
      </c>
      <c r="I18" s="40" t="s">
        <v>75</v>
      </c>
    </row>
    <row r="19">
      <c r="A19" s="72" t="s">
        <v>95</v>
      </c>
      <c r="B19" s="72" t="s">
        <v>142</v>
      </c>
      <c r="C19" s="72" t="s">
        <v>143</v>
      </c>
      <c r="D19" s="72" t="s">
        <v>144</v>
      </c>
      <c r="E19" s="40">
        <v>1.623679999E9</v>
      </c>
      <c r="F19" s="66">
        <f>IFERROR(__xludf.DUMMYFUNCTION("INDEX(SPLIT(E19, char(10)), 0, 1)/86400+date(1970,1,1)"),44361.592581018514)</f>
        <v>44361.59258</v>
      </c>
      <c r="G19" s="86" t="s">
        <v>967</v>
      </c>
      <c r="H19" s="86" t="s">
        <v>968</v>
      </c>
      <c r="I19" s="40" t="s">
        <v>17</v>
      </c>
    </row>
    <row r="20">
      <c r="A20" s="77" t="s">
        <v>7</v>
      </c>
      <c r="B20" s="77" t="s">
        <v>147</v>
      </c>
      <c r="C20" s="78">
        <v>1.0</v>
      </c>
      <c r="D20" s="80" t="b">
        <v>0</v>
      </c>
      <c r="E20" s="40">
        <v>1.62368009E9</v>
      </c>
      <c r="F20" s="66">
        <f>IFERROR(__xludf.DUMMYFUNCTION("INDEX(SPLIT(E20, char(10)), 0, 1)/86400+date(1970,1,1)"),44361.59363425926)</f>
        <v>44361.59363</v>
      </c>
      <c r="G20" s="86" t="s">
        <v>969</v>
      </c>
      <c r="H20" s="86" t="s">
        <v>970</v>
      </c>
      <c r="I20" s="40" t="s">
        <v>75</v>
      </c>
    </row>
    <row r="21">
      <c r="A21" s="77" t="s">
        <v>128</v>
      </c>
      <c r="B21" s="77" t="s">
        <v>971</v>
      </c>
      <c r="C21" s="78">
        <v>42.0</v>
      </c>
      <c r="D21" s="80" t="b">
        <v>1</v>
      </c>
      <c r="E21" s="40">
        <v>1.623680197E9</v>
      </c>
      <c r="F21" s="66">
        <f>IFERROR(__xludf.DUMMYFUNCTION("INDEX(SPLIT(E21, char(10)), 0, 1)/86400+date(1970,1,1)"),44361.594872685186)</f>
        <v>44361.59487</v>
      </c>
      <c r="G21" s="86" t="s">
        <v>972</v>
      </c>
      <c r="H21" s="86" t="s">
        <v>973</v>
      </c>
      <c r="I21" s="40" t="s">
        <v>75</v>
      </c>
    </row>
    <row r="22">
      <c r="A22" s="77" t="s">
        <v>7</v>
      </c>
      <c r="B22" s="77" t="s">
        <v>153</v>
      </c>
      <c r="C22" s="78">
        <v>45.0</v>
      </c>
      <c r="D22" s="80" t="b">
        <v>0</v>
      </c>
      <c r="E22" s="40">
        <v>1.623680307E9</v>
      </c>
      <c r="F22" s="66">
        <f>IFERROR(__xludf.DUMMYFUNCTION("INDEX(SPLIT(E22, char(10)), 0, 1)/86400+date(1970,1,1)"),44361.59614583333)</f>
        <v>44361.59615</v>
      </c>
      <c r="G22" s="86" t="s">
        <v>974</v>
      </c>
      <c r="H22" s="86" t="s">
        <v>975</v>
      </c>
      <c r="I22" s="40" t="s">
        <v>15</v>
      </c>
    </row>
    <row r="23">
      <c r="A23" s="77" t="s">
        <v>7</v>
      </c>
      <c r="B23" s="77" t="s">
        <v>156</v>
      </c>
      <c r="C23" s="78">
        <v>46.0</v>
      </c>
      <c r="D23" s="80" t="b">
        <v>0</v>
      </c>
      <c r="E23" s="40">
        <v>1.62368041E9</v>
      </c>
      <c r="F23" s="66">
        <f>IFERROR(__xludf.DUMMYFUNCTION("INDEX(SPLIT(E23, char(10)), 0, 1)/86400+date(1970,1,1)"),44361.59733796296)</f>
        <v>44361.59734</v>
      </c>
      <c r="G23" s="86" t="s">
        <v>976</v>
      </c>
      <c r="H23" s="86" t="s">
        <v>977</v>
      </c>
      <c r="I23" s="40" t="s">
        <v>15</v>
      </c>
    </row>
    <row r="24">
      <c r="A24" s="5" t="s">
        <v>8</v>
      </c>
      <c r="B24" s="5" t="s">
        <v>978</v>
      </c>
      <c r="C24" s="78">
        <v>46.0</v>
      </c>
      <c r="D24" s="80" t="b">
        <v>1</v>
      </c>
      <c r="E24" s="40">
        <v>1.623680505E9</v>
      </c>
      <c r="F24" s="66">
        <f>IFERROR(__xludf.DUMMYFUNCTION("INDEX(SPLIT(E24, char(10)), 0, 1)/86400+date(1970,1,1)"),44361.5984375)</f>
        <v>44361.59844</v>
      </c>
      <c r="G24" s="86" t="s">
        <v>979</v>
      </c>
      <c r="H24" s="86" t="s">
        <v>980</v>
      </c>
      <c r="I24" s="40" t="s">
        <v>16</v>
      </c>
    </row>
    <row r="25">
      <c r="A25" s="77" t="s">
        <v>128</v>
      </c>
      <c r="B25" s="74" t="s">
        <v>971</v>
      </c>
      <c r="C25" s="78">
        <v>52.0</v>
      </c>
      <c r="D25" s="80" t="b">
        <v>1</v>
      </c>
      <c r="E25" s="40">
        <v>1.623680597E9</v>
      </c>
      <c r="F25" s="66">
        <f>IFERROR(__xludf.DUMMYFUNCTION("INDEX(SPLIT(E25, char(10)), 0, 1)/86400+date(1970,1,1)"),44361.59950231481)</f>
        <v>44361.5995</v>
      </c>
      <c r="G25" s="86" t="s">
        <v>981</v>
      </c>
      <c r="H25" s="86" t="s">
        <v>982</v>
      </c>
      <c r="I25" s="40" t="s">
        <v>17</v>
      </c>
    </row>
    <row r="26">
      <c r="A26" s="77" t="s">
        <v>8</v>
      </c>
      <c r="B26" s="74" t="s">
        <v>983</v>
      </c>
      <c r="C26" s="78">
        <v>67.0</v>
      </c>
      <c r="D26" s="80" t="b">
        <v>0</v>
      </c>
      <c r="E26" s="40">
        <v>1.62368071E9</v>
      </c>
      <c r="F26" s="66">
        <f>IFERROR(__xludf.DUMMYFUNCTION("INDEX(SPLIT(E26, char(10)), 0, 1)/86400+date(1970,1,1)"),44361.600810185184)</f>
        <v>44361.60081</v>
      </c>
      <c r="G26" s="86" t="s">
        <v>984</v>
      </c>
      <c r="H26" s="86" t="s">
        <v>985</v>
      </c>
      <c r="I26" s="40" t="s">
        <v>16</v>
      </c>
    </row>
    <row r="27">
      <c r="A27" s="77" t="s">
        <v>8</v>
      </c>
      <c r="B27" s="74" t="s">
        <v>986</v>
      </c>
      <c r="C27" s="78">
        <v>67.0</v>
      </c>
      <c r="D27" s="80" t="b">
        <v>1</v>
      </c>
      <c r="E27" s="40">
        <v>1.623680808E9</v>
      </c>
      <c r="F27" s="66">
        <f>IFERROR(__xludf.DUMMYFUNCTION("INDEX(SPLIT(E27, char(10)), 0, 1)/86400+date(1970,1,1)"),44361.60194444444)</f>
        <v>44361.60194</v>
      </c>
      <c r="G27" s="86" t="s">
        <v>987</v>
      </c>
      <c r="H27" s="86" t="s">
        <v>988</v>
      </c>
      <c r="I27" s="40" t="s">
        <v>15</v>
      </c>
    </row>
    <row r="28">
      <c r="A28" s="77" t="s">
        <v>8</v>
      </c>
      <c r="B28" s="91" t="s">
        <v>989</v>
      </c>
      <c r="C28" s="78">
        <v>67.0</v>
      </c>
      <c r="D28" s="80" t="b">
        <v>1</v>
      </c>
      <c r="E28" s="40">
        <v>1.62368092E9</v>
      </c>
      <c r="F28" s="66">
        <f>IFERROR(__xludf.DUMMYFUNCTION("INDEX(SPLIT(E28, char(10)), 0, 1)/86400+date(1970,1,1)"),44361.60324074074)</f>
        <v>44361.60324</v>
      </c>
      <c r="G28" s="86" t="s">
        <v>990</v>
      </c>
      <c r="H28" s="86" t="s">
        <v>991</v>
      </c>
      <c r="I28" s="40" t="s">
        <v>16</v>
      </c>
    </row>
    <row r="29">
      <c r="A29" s="77" t="s">
        <v>8</v>
      </c>
      <c r="B29" s="74" t="s">
        <v>992</v>
      </c>
      <c r="C29" s="78">
        <v>72.0</v>
      </c>
      <c r="D29" s="80" t="b">
        <v>1</v>
      </c>
      <c r="E29" s="40">
        <v>1.623681073E9</v>
      </c>
      <c r="F29" s="66">
        <f>IFERROR(__xludf.DUMMYFUNCTION("INDEX(SPLIT(E29, char(10)), 0, 1)/86400+date(1970,1,1)"),44361.60501157407)</f>
        <v>44361.60501</v>
      </c>
      <c r="G29" s="86" t="s">
        <v>993</v>
      </c>
      <c r="H29" s="86" t="s">
        <v>994</v>
      </c>
      <c r="I29" s="40" t="s">
        <v>15</v>
      </c>
    </row>
    <row r="30">
      <c r="A30" s="77" t="s">
        <v>8</v>
      </c>
      <c r="B30" s="74" t="s">
        <v>995</v>
      </c>
      <c r="C30" s="78">
        <v>72.0</v>
      </c>
      <c r="D30" s="80" t="b">
        <v>0</v>
      </c>
      <c r="E30" s="40">
        <v>1.623681315E9</v>
      </c>
      <c r="F30" s="66">
        <f>IFERROR(__xludf.DUMMYFUNCTION("INDEX(SPLIT(E30, char(10)), 0, 1)/86400+date(1970,1,1)"),44361.6078125)</f>
        <v>44361.60781</v>
      </c>
      <c r="G30" s="86" t="s">
        <v>996</v>
      </c>
      <c r="H30" s="86" t="s">
        <v>997</v>
      </c>
      <c r="I30" s="40" t="s">
        <v>14</v>
      </c>
    </row>
    <row r="31">
      <c r="A31" s="77" t="s">
        <v>8</v>
      </c>
      <c r="B31" s="74" t="s">
        <v>998</v>
      </c>
      <c r="C31" s="78">
        <v>79.0</v>
      </c>
      <c r="D31" s="80" t="b">
        <v>1</v>
      </c>
      <c r="E31" s="40">
        <v>1.623681448E9</v>
      </c>
      <c r="F31" s="66">
        <f>IFERROR(__xludf.DUMMYFUNCTION("INDEX(SPLIT(E31, char(10)), 0, 1)/86400+date(1970,1,1)"),44361.60935185185)</f>
        <v>44361.60935</v>
      </c>
      <c r="G31" s="86" t="s">
        <v>999</v>
      </c>
      <c r="H31" s="86" t="s">
        <v>1000</v>
      </c>
      <c r="I31" s="40" t="s">
        <v>16</v>
      </c>
    </row>
    <row r="32">
      <c r="A32" s="77" t="s">
        <v>8</v>
      </c>
      <c r="B32" s="74" t="s">
        <v>1001</v>
      </c>
      <c r="C32" s="78">
        <v>79.0</v>
      </c>
      <c r="D32" s="80" t="b">
        <v>1</v>
      </c>
      <c r="E32" s="40">
        <v>1.623681964E9</v>
      </c>
      <c r="F32" s="66">
        <f>IFERROR(__xludf.DUMMYFUNCTION("INDEX(SPLIT(E32, char(10)), 0, 1)/86400+date(1970,1,1)"),44361.615324074075)</f>
        <v>44361.61532</v>
      </c>
      <c r="G32" s="86" t="s">
        <v>1002</v>
      </c>
      <c r="H32" s="86" t="s">
        <v>1003</v>
      </c>
      <c r="I32" s="40" t="s">
        <v>75</v>
      </c>
    </row>
    <row r="33">
      <c r="A33" s="77" t="s">
        <v>8</v>
      </c>
      <c r="B33" s="74" t="s">
        <v>1004</v>
      </c>
      <c r="C33" s="78">
        <v>87.0</v>
      </c>
      <c r="D33" s="80" t="b">
        <v>0</v>
      </c>
      <c r="E33" s="40">
        <v>1.623682108E9</v>
      </c>
      <c r="F33" s="66">
        <f>IFERROR(__xludf.DUMMYFUNCTION("INDEX(SPLIT(E33, char(10)), 0, 1)/86400+date(1970,1,1)"),44361.616990740746)</f>
        <v>44361.61699</v>
      </c>
      <c r="G33" s="86" t="s">
        <v>1005</v>
      </c>
      <c r="H33" s="86" t="s">
        <v>1006</v>
      </c>
      <c r="I33" s="40" t="s">
        <v>16</v>
      </c>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5</v>
      </c>
      <c r="D2" s="64">
        <f t="shared" ref="D2:D6" si="2">C2/COUNTA(I$2:I1000)</f>
        <v>0.25</v>
      </c>
      <c r="E2" s="89">
        <v>1.623676625E9</v>
      </c>
      <c r="F2" s="66">
        <f>IFERROR(__xludf.DUMMYFUNCTION("INDEX(SPLIT(E2, char(10)), 0, 1)/86400+date(1970,1,1)"),44361.55353009259)</f>
        <v>44361.55353</v>
      </c>
      <c r="G2" s="86" t="s">
        <v>1008</v>
      </c>
      <c r="H2" s="86" t="s">
        <v>1009</v>
      </c>
      <c r="I2" s="40" t="s">
        <v>17</v>
      </c>
      <c r="J2" s="40"/>
    </row>
    <row r="3">
      <c r="A3" s="40" t="s">
        <v>14</v>
      </c>
      <c r="B3" s="40" t="s">
        <v>99</v>
      </c>
      <c r="C3" s="40">
        <f t="shared" si="1"/>
        <v>0</v>
      </c>
      <c r="D3" s="64">
        <f t="shared" si="2"/>
        <v>0</v>
      </c>
      <c r="E3" s="89">
        <v>1.623676968E9</v>
      </c>
      <c r="F3" s="66">
        <f>IFERROR(__xludf.DUMMYFUNCTION("INDEX(SPLIT(E3, char(10)), 0, 1)/86400+date(1970,1,1)"),44361.557499999995)</f>
        <v>44361.5575</v>
      </c>
      <c r="G3" s="86" t="s">
        <v>1010</v>
      </c>
      <c r="H3" s="86" t="s">
        <v>1011</v>
      </c>
      <c r="I3" s="40" t="s">
        <v>17</v>
      </c>
      <c r="J3" s="40"/>
    </row>
    <row r="4">
      <c r="A4" s="40" t="s">
        <v>15</v>
      </c>
      <c r="B4" s="40" t="s">
        <v>102</v>
      </c>
      <c r="C4" s="40">
        <f t="shared" si="1"/>
        <v>5</v>
      </c>
      <c r="D4" s="64">
        <f t="shared" si="2"/>
        <v>0.25</v>
      </c>
      <c r="E4" s="89">
        <v>1.62367759E9</v>
      </c>
      <c r="F4" s="66">
        <f>IFERROR(__xludf.DUMMYFUNCTION("INDEX(SPLIT(E4, char(10)), 0, 1)/86400+date(1970,1,1)"),44361.56469907408)</f>
        <v>44361.5647</v>
      </c>
      <c r="G4" s="86" t="s">
        <v>683</v>
      </c>
      <c r="H4" s="86" t="s">
        <v>1012</v>
      </c>
      <c r="I4" s="40" t="s">
        <v>17</v>
      </c>
      <c r="J4" s="40"/>
    </row>
    <row r="5">
      <c r="A5" s="40" t="s">
        <v>16</v>
      </c>
      <c r="B5" s="40" t="s">
        <v>105</v>
      </c>
      <c r="C5" s="40">
        <f t="shared" si="1"/>
        <v>2</v>
      </c>
      <c r="D5" s="64">
        <f t="shared" si="2"/>
        <v>0.1</v>
      </c>
      <c r="E5" s="89">
        <v>1.623677701E9</v>
      </c>
      <c r="F5" s="66">
        <f>IFERROR(__xludf.DUMMYFUNCTION("INDEX(SPLIT(E5, char(10)), 0, 1)/86400+date(1970,1,1)"),44361.565983796296)</f>
        <v>44361.56598</v>
      </c>
      <c r="G5" s="86" t="s">
        <v>941</v>
      </c>
      <c r="H5" s="86" t="s">
        <v>942</v>
      </c>
      <c r="I5" s="40" t="s">
        <v>15</v>
      </c>
      <c r="J5" s="40"/>
    </row>
    <row r="6">
      <c r="A6" s="40" t="s">
        <v>17</v>
      </c>
      <c r="B6" s="40" t="s">
        <v>108</v>
      </c>
      <c r="C6" s="40">
        <f t="shared" si="1"/>
        <v>8</v>
      </c>
      <c r="D6" s="64">
        <f t="shared" si="2"/>
        <v>0.4</v>
      </c>
      <c r="E6" s="89">
        <v>1.623678154E9</v>
      </c>
      <c r="F6" s="66">
        <f>IFERROR(__xludf.DUMMYFUNCTION("INDEX(SPLIT(E6, char(10)), 0, 1)/86400+date(1970,1,1)"),44361.571226851855)</f>
        <v>44361.57123</v>
      </c>
      <c r="G6" s="86" t="s">
        <v>1013</v>
      </c>
      <c r="H6" s="86" t="s">
        <v>1014</v>
      </c>
      <c r="I6" s="40" t="s">
        <v>16</v>
      </c>
    </row>
    <row r="7">
      <c r="B7" s="40" t="s">
        <v>13</v>
      </c>
      <c r="C7" s="69">
        <f t="shared" ref="C7:D7" si="3">SUM(C2:C6)</f>
        <v>20</v>
      </c>
      <c r="D7" s="70">
        <f t="shared" si="3"/>
        <v>1</v>
      </c>
      <c r="E7" s="89">
        <v>1.623678277E9</v>
      </c>
      <c r="F7" s="66">
        <f>IFERROR(__xludf.DUMMYFUNCTION("INDEX(SPLIT(E7, char(10)), 0, 1)/86400+date(1970,1,1)"),44361.572650462964)</f>
        <v>44361.57265</v>
      </c>
      <c r="G7" s="86" t="s">
        <v>1015</v>
      </c>
      <c r="H7" s="86" t="s">
        <v>1016</v>
      </c>
      <c r="I7" s="40" t="s">
        <v>75</v>
      </c>
    </row>
    <row r="8">
      <c r="A8" s="71"/>
      <c r="B8" s="40" t="s">
        <v>18</v>
      </c>
      <c r="C8" s="57">
        <f t="shared" ref="C8:D8" si="4">SUM(C5:C6)</f>
        <v>10</v>
      </c>
      <c r="D8" s="14">
        <f t="shared" si="4"/>
        <v>0.5</v>
      </c>
      <c r="E8" s="89">
        <v>1.62367846E9</v>
      </c>
      <c r="F8" s="66">
        <f>IFERROR(__xludf.DUMMYFUNCTION("INDEX(SPLIT(E8, char(10)), 0, 1)/86400+date(1970,1,1)"),44361.57476851852)</f>
        <v>44361.57477</v>
      </c>
      <c r="G8" s="86" t="s">
        <v>1017</v>
      </c>
      <c r="H8" s="86" t="s">
        <v>1018</v>
      </c>
      <c r="I8" s="40" t="s">
        <v>17</v>
      </c>
    </row>
    <row r="9">
      <c r="A9" s="71"/>
      <c r="B9" s="40" t="s">
        <v>47</v>
      </c>
      <c r="C9" s="57">
        <f>SUM(C6:C7)</f>
        <v>28</v>
      </c>
      <c r="D9" s="14">
        <f>SUM(D5:D6) + D2</f>
        <v>0.75</v>
      </c>
      <c r="E9" s="89">
        <v>1.623678603E9</v>
      </c>
      <c r="F9" s="66">
        <f>IFERROR(__xludf.DUMMYFUNCTION("INDEX(SPLIT(E9, char(10)), 0, 1)/86400+date(1970,1,1)"),44361.57642361111)</f>
        <v>44361.57642</v>
      </c>
      <c r="G9" s="86" t="s">
        <v>1019</v>
      </c>
      <c r="H9" s="86" t="s">
        <v>1020</v>
      </c>
      <c r="I9" s="40" t="s">
        <v>17</v>
      </c>
    </row>
    <row r="10">
      <c r="A10" s="71"/>
      <c r="B10" s="71"/>
      <c r="C10" s="71"/>
      <c r="D10" s="71"/>
      <c r="E10" s="89">
        <v>1.623679022E9</v>
      </c>
      <c r="F10" s="66">
        <f>IFERROR(__xludf.DUMMYFUNCTION("INDEX(SPLIT(E10, char(10)), 0, 1)/86400+date(1970,1,1)"),44361.58127314815)</f>
        <v>44361.58127</v>
      </c>
      <c r="G10" s="86" t="s">
        <v>327</v>
      </c>
      <c r="H10" s="86" t="s">
        <v>954</v>
      </c>
      <c r="I10" s="40" t="s">
        <v>15</v>
      </c>
    </row>
    <row r="11">
      <c r="A11" s="71"/>
      <c r="B11" s="71"/>
      <c r="C11" s="71"/>
      <c r="D11" s="71"/>
      <c r="E11" s="89">
        <v>1.623679483E9</v>
      </c>
      <c r="F11" s="66">
        <f>IFERROR(__xludf.DUMMYFUNCTION("INDEX(SPLIT(E11, char(10)), 0, 1)/86400+date(1970,1,1)"),44361.58660879629)</f>
        <v>44361.58661</v>
      </c>
      <c r="G11" s="86" t="s">
        <v>1021</v>
      </c>
      <c r="H11" s="86" t="s">
        <v>1022</v>
      </c>
      <c r="I11" s="40" t="s">
        <v>17</v>
      </c>
    </row>
    <row r="12">
      <c r="A12" s="72" t="s">
        <v>121</v>
      </c>
      <c r="B12" s="90" t="s">
        <v>1023</v>
      </c>
      <c r="C12" s="74"/>
      <c r="D12" s="74"/>
      <c r="E12" s="89">
        <v>1.62367982E9</v>
      </c>
      <c r="F12" s="66">
        <f>IFERROR(__xludf.DUMMYFUNCTION("INDEX(SPLIT(E12, char(10)), 0, 1)/86400+date(1970,1,1)"),44361.59050925926)</f>
        <v>44361.59051</v>
      </c>
      <c r="G12" s="86" t="s">
        <v>1024</v>
      </c>
      <c r="H12" s="86" t="s">
        <v>1025</v>
      </c>
      <c r="I12" s="40" t="s">
        <v>16</v>
      </c>
    </row>
    <row r="13">
      <c r="A13" s="72" t="s">
        <v>125</v>
      </c>
      <c r="B13" s="74"/>
      <c r="C13" s="72" t="s">
        <v>89</v>
      </c>
      <c r="D13" s="72" t="s">
        <v>90</v>
      </c>
      <c r="E13" s="89">
        <v>1.623679942E9</v>
      </c>
      <c r="F13" s="66">
        <f>IFERROR(__xludf.DUMMYFUNCTION("INDEX(SPLIT(E13, char(10)), 0, 1)/86400+date(1970,1,1)"),44361.5919212963)</f>
        <v>44361.59192</v>
      </c>
      <c r="G13" s="86" t="s">
        <v>1026</v>
      </c>
      <c r="H13" s="86" t="s">
        <v>1027</v>
      </c>
      <c r="I13" s="40" t="s">
        <v>75</v>
      </c>
    </row>
    <row r="14">
      <c r="A14" s="5" t="s">
        <v>128</v>
      </c>
      <c r="B14" s="5" t="s">
        <v>129</v>
      </c>
      <c r="C14" s="75">
        <f t="shared" ref="C14:C17" si="5">COUNTIF($A$19:$A1000, A14)</f>
        <v>2</v>
      </c>
      <c r="D14" s="76">
        <f>IFERROR(__xludf.DUMMYFUNCTION("IF(C14, COUNTIF(FILTER($D$19:$D1000, $A$19:$A1000=A14), TRUE)/C14, 0)"),1.0)</f>
        <v>1</v>
      </c>
      <c r="E14" s="89">
        <v>1.623680057E9</v>
      </c>
      <c r="F14" s="66">
        <f>IFERROR(__xludf.DUMMYFUNCTION("INDEX(SPLIT(E14, char(10)), 0, 1)/86400+date(1970,1,1)"),44361.593252314815)</f>
        <v>44361.59325</v>
      </c>
      <c r="G14" s="86" t="s">
        <v>1028</v>
      </c>
      <c r="H14" s="86" t="s">
        <v>1029</v>
      </c>
      <c r="I14" s="40" t="s">
        <v>15</v>
      </c>
    </row>
    <row r="15">
      <c r="A15" s="5" t="s">
        <v>6</v>
      </c>
      <c r="B15" s="5" t="s">
        <v>132</v>
      </c>
      <c r="C15" s="75">
        <f t="shared" si="5"/>
        <v>0</v>
      </c>
      <c r="D15" s="76">
        <f>IFERROR(__xludf.DUMMYFUNCTION("IF(C15, COUNTIF(FILTER($D$19:$D1000, $A$19:$A1000=A15), TRUE)/C15, 0)"),0.0)</f>
        <v>0</v>
      </c>
      <c r="E15" s="89">
        <v>1.623680175E9</v>
      </c>
      <c r="F15" s="66">
        <f>IFERROR(__xludf.DUMMYFUNCTION("INDEX(SPLIT(E15, char(10)), 0, 1)/86400+date(1970,1,1)"),44361.594618055555)</f>
        <v>44361.59462</v>
      </c>
      <c r="G15" s="86" t="s">
        <v>1030</v>
      </c>
      <c r="H15" s="86" t="s">
        <v>1031</v>
      </c>
      <c r="I15" s="40" t="s">
        <v>15</v>
      </c>
    </row>
    <row r="16">
      <c r="A16" s="5" t="s">
        <v>7</v>
      </c>
      <c r="B16" s="5" t="s">
        <v>135</v>
      </c>
      <c r="C16" s="75">
        <f t="shared" si="5"/>
        <v>4</v>
      </c>
      <c r="D16" s="76">
        <f>IFERROR(__xludf.DUMMYFUNCTION("IF(C16, COUNTIF(FILTER($D$19:$D1000, $A$19:$A1000=A16), TRUE)/C16, 0)"),0.0)</f>
        <v>0</v>
      </c>
      <c r="E16" s="89">
        <v>1.623680644E9</v>
      </c>
      <c r="F16" s="66">
        <f>IFERROR(__xludf.DUMMYFUNCTION("INDEX(SPLIT(E16, char(10)), 0, 1)/86400+date(1970,1,1)"),44361.6000462963)</f>
        <v>44361.60005</v>
      </c>
      <c r="G16" s="86" t="s">
        <v>1032</v>
      </c>
      <c r="H16" s="86" t="s">
        <v>1033</v>
      </c>
      <c r="I16" s="40" t="s">
        <v>17</v>
      </c>
    </row>
    <row r="17">
      <c r="A17" s="5" t="s">
        <v>8</v>
      </c>
      <c r="B17" s="5" t="s">
        <v>79</v>
      </c>
      <c r="C17" s="75">
        <f t="shared" si="5"/>
        <v>10</v>
      </c>
      <c r="D17" s="76">
        <f>IFERROR(__xludf.DUMMYFUNCTION("IF(C17, COUNTIF(FILTER($D$19:$D1000, $A$19:$A1000=A17), TRUE)/C17, 0)"),0.0)</f>
        <v>0</v>
      </c>
      <c r="E17" s="89">
        <v>1.62368075E9</v>
      </c>
      <c r="F17" s="66">
        <f>IFERROR(__xludf.DUMMYFUNCTION("INDEX(SPLIT(E17, char(10)), 0, 1)/86400+date(1970,1,1)"),44361.601273148146)</f>
        <v>44361.60127</v>
      </c>
      <c r="G17" s="86" t="s">
        <v>1034</v>
      </c>
      <c r="H17" s="86" t="s">
        <v>1035</v>
      </c>
      <c r="I17" s="40" t="s">
        <v>75</v>
      </c>
    </row>
    <row r="18">
      <c r="A18" s="74"/>
      <c r="B18" s="72" t="s">
        <v>9</v>
      </c>
      <c r="C18" s="75">
        <f>SUM(C14:C17)</f>
        <v>16</v>
      </c>
      <c r="D18" s="76">
        <f>COUNTIF($D$19:$D1000, TRUE)/SUM($C$14:$C$17)</f>
        <v>0.125</v>
      </c>
      <c r="E18" s="89">
        <v>1.623681475E9</v>
      </c>
      <c r="F18" s="66">
        <f>IFERROR(__xludf.DUMMYFUNCTION("INDEX(SPLIT(E18, char(10)), 0, 1)/86400+date(1970,1,1)"),44361.609664351854)</f>
        <v>44361.60966</v>
      </c>
      <c r="G18" s="86" t="s">
        <v>1036</v>
      </c>
      <c r="H18" s="86" t="s">
        <v>1037</v>
      </c>
      <c r="I18" s="40" t="s">
        <v>15</v>
      </c>
    </row>
    <row r="19">
      <c r="A19" s="72" t="s">
        <v>95</v>
      </c>
      <c r="B19" s="72" t="s">
        <v>142</v>
      </c>
      <c r="C19" s="72" t="s">
        <v>143</v>
      </c>
      <c r="D19" s="72" t="s">
        <v>144</v>
      </c>
      <c r="E19" s="89">
        <v>1.623681957E9</v>
      </c>
      <c r="F19" s="66">
        <f>IFERROR(__xludf.DUMMYFUNCTION("INDEX(SPLIT(E19, char(10)), 0, 1)/86400+date(1970,1,1)"),44361.61524305555)</f>
        <v>44361.61524</v>
      </c>
      <c r="G19" s="86" t="s">
        <v>1038</v>
      </c>
      <c r="H19" s="86" t="s">
        <v>1039</v>
      </c>
      <c r="I19" s="40" t="s">
        <v>75</v>
      </c>
    </row>
    <row r="20">
      <c r="A20" s="77" t="s">
        <v>7</v>
      </c>
      <c r="B20" s="77" t="s">
        <v>147</v>
      </c>
      <c r="C20" s="78">
        <v>1.0</v>
      </c>
      <c r="D20" s="80" t="b">
        <v>0</v>
      </c>
      <c r="E20" s="89">
        <v>1.623682107E9</v>
      </c>
      <c r="F20" s="66">
        <f>IFERROR(__xludf.DUMMYFUNCTION("INDEX(SPLIT(E20, char(10)), 0, 1)/86400+date(1970,1,1)"),44361.61697916666)</f>
        <v>44361.61698</v>
      </c>
      <c r="G20" s="86" t="s">
        <v>1040</v>
      </c>
      <c r="H20" s="86" t="s">
        <v>1041</v>
      </c>
      <c r="I20" s="40" t="s">
        <v>17</v>
      </c>
    </row>
    <row r="21">
      <c r="A21" s="77" t="s">
        <v>128</v>
      </c>
      <c r="B21" s="77" t="s">
        <v>971</v>
      </c>
      <c r="C21" s="78">
        <v>42.0</v>
      </c>
      <c r="D21" s="80" t="b">
        <v>1</v>
      </c>
      <c r="E21" s="89">
        <v>1.623682232E9</v>
      </c>
      <c r="F21" s="66">
        <f>IFERROR(__xludf.DUMMYFUNCTION("INDEX(SPLIT(E21, char(10)), 0, 1)/86400+date(1970,1,1)"),44361.618425925924)</f>
        <v>44361.61843</v>
      </c>
      <c r="G21" s="86" t="s">
        <v>1042</v>
      </c>
      <c r="H21" s="86" t="s">
        <v>1043</v>
      </c>
      <c r="I21" s="40" t="s">
        <v>75</v>
      </c>
    </row>
    <row r="22">
      <c r="A22" s="77" t="s">
        <v>7</v>
      </c>
      <c r="B22" s="77" t="s">
        <v>153</v>
      </c>
      <c r="C22" s="78">
        <v>45.0</v>
      </c>
      <c r="D22" s="80" t="b">
        <v>0</v>
      </c>
      <c r="F22" s="66"/>
      <c r="G22" s="86"/>
      <c r="H22" s="86"/>
      <c r="I22" s="41"/>
    </row>
    <row r="23">
      <c r="A23" s="77" t="s">
        <v>7</v>
      </c>
      <c r="B23" s="77" t="s">
        <v>156</v>
      </c>
      <c r="C23" s="78">
        <v>46.0</v>
      </c>
      <c r="D23" s="80" t="b">
        <v>0</v>
      </c>
      <c r="F23" s="66"/>
      <c r="G23" s="86"/>
      <c r="H23" s="86"/>
      <c r="I23" s="41"/>
    </row>
    <row r="24">
      <c r="A24" s="5" t="s">
        <v>8</v>
      </c>
      <c r="B24" s="5" t="s">
        <v>978</v>
      </c>
      <c r="C24" s="78">
        <v>46.0</v>
      </c>
      <c r="D24" s="80" t="b">
        <v>0</v>
      </c>
      <c r="F24" s="66"/>
      <c r="G24" s="86"/>
      <c r="H24" s="86"/>
      <c r="I24" s="41"/>
    </row>
    <row r="25">
      <c r="A25" s="77" t="s">
        <v>128</v>
      </c>
      <c r="B25" s="74" t="s">
        <v>971</v>
      </c>
      <c r="C25" s="78">
        <v>52.0</v>
      </c>
      <c r="D25" s="80" t="b">
        <v>1</v>
      </c>
      <c r="F25" s="66"/>
      <c r="G25" s="86"/>
      <c r="H25" s="86"/>
      <c r="I25" s="41"/>
    </row>
    <row r="26">
      <c r="A26" s="77" t="s">
        <v>8</v>
      </c>
      <c r="B26" s="74" t="s">
        <v>983</v>
      </c>
      <c r="C26" s="78">
        <v>67.0</v>
      </c>
      <c r="D26" s="80" t="b">
        <v>0</v>
      </c>
      <c r="F26" s="66"/>
      <c r="G26" s="86"/>
      <c r="H26" s="86"/>
      <c r="I26" s="41"/>
    </row>
    <row r="27">
      <c r="A27" s="77" t="s">
        <v>8</v>
      </c>
      <c r="B27" s="74" t="s">
        <v>986</v>
      </c>
      <c r="C27" s="78">
        <v>67.0</v>
      </c>
      <c r="D27" s="80" t="b">
        <v>0</v>
      </c>
      <c r="F27" s="66"/>
      <c r="G27" s="86"/>
      <c r="H27" s="86"/>
      <c r="I27" s="41"/>
    </row>
    <row r="28">
      <c r="A28" s="77" t="s">
        <v>8</v>
      </c>
      <c r="B28" s="91" t="s">
        <v>989</v>
      </c>
      <c r="C28" s="78">
        <v>67.0</v>
      </c>
      <c r="D28" s="80" t="b">
        <v>0</v>
      </c>
      <c r="F28" s="66"/>
      <c r="G28" s="86"/>
      <c r="H28" s="86"/>
      <c r="I28" s="41"/>
    </row>
    <row r="29">
      <c r="A29" s="77" t="s">
        <v>8</v>
      </c>
      <c r="B29" s="74" t="s">
        <v>992</v>
      </c>
      <c r="C29" s="78">
        <v>72.0</v>
      </c>
      <c r="D29" s="80" t="b">
        <v>0</v>
      </c>
      <c r="F29" s="66"/>
      <c r="G29" s="86"/>
      <c r="H29" s="86"/>
      <c r="I29" s="41"/>
    </row>
    <row r="30">
      <c r="A30" s="77" t="s">
        <v>8</v>
      </c>
      <c r="B30" s="74" t="s">
        <v>995</v>
      </c>
      <c r="C30" s="78">
        <v>72.0</v>
      </c>
      <c r="D30" s="80" t="b">
        <v>0</v>
      </c>
      <c r="F30" s="66"/>
      <c r="G30" s="86"/>
      <c r="H30" s="86"/>
      <c r="I30" s="41"/>
    </row>
    <row r="31">
      <c r="A31" s="77" t="s">
        <v>8</v>
      </c>
      <c r="B31" s="74" t="s">
        <v>998</v>
      </c>
      <c r="C31" s="78">
        <v>79.0</v>
      </c>
      <c r="D31" s="80" t="b">
        <v>0</v>
      </c>
      <c r="F31" s="66"/>
      <c r="G31" s="86"/>
      <c r="H31" s="86"/>
      <c r="I31" s="41"/>
    </row>
    <row r="32">
      <c r="A32" s="77" t="s">
        <v>8</v>
      </c>
      <c r="B32" s="74" t="s">
        <v>1001</v>
      </c>
      <c r="C32" s="78">
        <v>79.0</v>
      </c>
      <c r="D32" s="80" t="b">
        <v>0</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0</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89">
        <v>1.623676616E9</v>
      </c>
      <c r="F2" s="66">
        <f>IFERROR(__xludf.DUMMYFUNCTION("INDEX(SPLIT(E2, char(10)), 0, 1)/86400+date(1970,1,1)"),44361.55342592593)</f>
        <v>44361.55343</v>
      </c>
      <c r="G2" s="86" t="s">
        <v>683</v>
      </c>
      <c r="H2" s="86" t="s">
        <v>1044</v>
      </c>
      <c r="I2" s="40" t="s">
        <v>17</v>
      </c>
      <c r="J2" s="40"/>
    </row>
    <row r="3">
      <c r="A3" s="40" t="s">
        <v>14</v>
      </c>
      <c r="B3" s="40" t="s">
        <v>99</v>
      </c>
      <c r="C3" s="40">
        <f t="shared" si="1"/>
        <v>1</v>
      </c>
      <c r="D3" s="64">
        <f t="shared" si="2"/>
        <v>0.04166666667</v>
      </c>
      <c r="E3" s="89">
        <v>1.623676789E9</v>
      </c>
      <c r="F3" s="66">
        <f>IFERROR(__xludf.DUMMYFUNCTION("INDEX(SPLIT(E3, char(10)), 0, 1)/86400+date(1970,1,1)"),44361.55542824074)</f>
        <v>44361.55543</v>
      </c>
      <c r="G3" s="86" t="s">
        <v>1045</v>
      </c>
      <c r="H3" s="86" t="s">
        <v>1046</v>
      </c>
      <c r="I3" s="40" t="s">
        <v>17</v>
      </c>
      <c r="J3" s="40"/>
    </row>
    <row r="4">
      <c r="A4" s="40" t="s">
        <v>15</v>
      </c>
      <c r="B4" s="40" t="s">
        <v>102</v>
      </c>
      <c r="C4" s="40">
        <f t="shared" si="1"/>
        <v>4</v>
      </c>
      <c r="D4" s="64">
        <f t="shared" si="2"/>
        <v>0.1666666667</v>
      </c>
      <c r="E4" s="89">
        <v>1.62367697E9</v>
      </c>
      <c r="F4" s="66">
        <f>IFERROR(__xludf.DUMMYFUNCTION("INDEX(SPLIT(E4, char(10)), 0, 1)/86400+date(1970,1,1)"),44361.55752314815)</f>
        <v>44361.55752</v>
      </c>
      <c r="G4" s="86" t="s">
        <v>1047</v>
      </c>
      <c r="H4" s="86" t="s">
        <v>1048</v>
      </c>
      <c r="I4" s="40" t="s">
        <v>17</v>
      </c>
      <c r="J4" s="40"/>
    </row>
    <row r="5">
      <c r="A5" s="40" t="s">
        <v>16</v>
      </c>
      <c r="B5" s="40" t="s">
        <v>105</v>
      </c>
      <c r="C5" s="40">
        <f t="shared" si="1"/>
        <v>7</v>
      </c>
      <c r="D5" s="64">
        <f t="shared" si="2"/>
        <v>0.2916666667</v>
      </c>
      <c r="E5" s="89">
        <v>1.623677587E9</v>
      </c>
      <c r="F5" s="66">
        <f>IFERROR(__xludf.DUMMYFUNCTION("INDEX(SPLIT(E5, char(10)), 0, 1)/86400+date(1970,1,1)"),44361.564664351856)</f>
        <v>44361.56466</v>
      </c>
      <c r="G5" s="86" t="s">
        <v>683</v>
      </c>
      <c r="H5" s="86" t="s">
        <v>1049</v>
      </c>
      <c r="I5" s="40" t="s">
        <v>17</v>
      </c>
      <c r="J5" s="40"/>
    </row>
    <row r="6">
      <c r="A6" s="40" t="s">
        <v>17</v>
      </c>
      <c r="B6" s="40" t="s">
        <v>108</v>
      </c>
      <c r="C6" s="40">
        <f t="shared" si="1"/>
        <v>10</v>
      </c>
      <c r="D6" s="64">
        <f t="shared" si="2"/>
        <v>0.4166666667</v>
      </c>
      <c r="E6" s="89">
        <v>1.623678144E9</v>
      </c>
      <c r="F6" s="66">
        <f>IFERROR(__xludf.DUMMYFUNCTION("INDEX(SPLIT(E6, char(10)), 0, 1)/86400+date(1970,1,1)"),44361.571111111116)</f>
        <v>44361.57111</v>
      </c>
      <c r="G6" s="86" t="s">
        <v>1050</v>
      </c>
      <c r="H6" s="86" t="s">
        <v>1051</v>
      </c>
      <c r="I6" s="40" t="s">
        <v>16</v>
      </c>
    </row>
    <row r="7">
      <c r="B7" s="40" t="s">
        <v>13</v>
      </c>
      <c r="C7" s="69">
        <f t="shared" ref="C7:D7" si="3">SUM(C2:C6)</f>
        <v>24</v>
      </c>
      <c r="D7" s="70">
        <f t="shared" si="3"/>
        <v>1</v>
      </c>
      <c r="E7" s="89">
        <v>1.623678248E9</v>
      </c>
      <c r="F7" s="66">
        <f>IFERROR(__xludf.DUMMYFUNCTION("INDEX(SPLIT(E7, char(10)), 0, 1)/86400+date(1970,1,1)"),44361.57231481481)</f>
        <v>44361.57231</v>
      </c>
      <c r="G7" s="86" t="s">
        <v>1052</v>
      </c>
      <c r="H7" s="86" t="s">
        <v>1053</v>
      </c>
      <c r="I7" s="40" t="s">
        <v>75</v>
      </c>
    </row>
    <row r="8">
      <c r="A8" s="71"/>
      <c r="B8" s="40" t="s">
        <v>18</v>
      </c>
      <c r="C8" s="57">
        <f t="shared" ref="C8:D8" si="4">SUM(C5:C6)</f>
        <v>17</v>
      </c>
      <c r="D8" s="14">
        <f t="shared" si="4"/>
        <v>0.7083333333</v>
      </c>
      <c r="E8" s="89">
        <v>1.623678442E9</v>
      </c>
      <c r="F8" s="66">
        <f>IFERROR(__xludf.DUMMYFUNCTION("INDEX(SPLIT(E8, char(10)), 0, 1)/86400+date(1970,1,1)"),44361.57456018518)</f>
        <v>44361.57456</v>
      </c>
      <c r="G8" s="86" t="s">
        <v>1054</v>
      </c>
      <c r="H8" s="86" t="s">
        <v>1055</v>
      </c>
      <c r="I8" s="40" t="s">
        <v>17</v>
      </c>
    </row>
    <row r="9">
      <c r="A9" s="71"/>
      <c r="B9" s="40" t="s">
        <v>47</v>
      </c>
      <c r="C9" s="57">
        <f>SUM(C6:C7)</f>
        <v>34</v>
      </c>
      <c r="D9" s="14">
        <f>SUM(D5:D6) + D2</f>
        <v>0.7916666667</v>
      </c>
      <c r="E9" s="89">
        <v>1.623678552E9</v>
      </c>
      <c r="F9" s="66">
        <f>IFERROR(__xludf.DUMMYFUNCTION("INDEX(SPLIT(E9, char(10)), 0, 1)/86400+date(1970,1,1)"),44361.575833333336)</f>
        <v>44361.57583</v>
      </c>
      <c r="G9" s="86" t="s">
        <v>1056</v>
      </c>
      <c r="H9" s="86" t="s">
        <v>1057</v>
      </c>
      <c r="I9" s="40" t="s">
        <v>14</v>
      </c>
    </row>
    <row r="10">
      <c r="A10" s="71"/>
      <c r="B10" s="71"/>
      <c r="C10" s="71"/>
      <c r="D10" s="71"/>
      <c r="E10" s="89">
        <v>1.623678656E9</v>
      </c>
      <c r="F10" s="66">
        <f>IFERROR(__xludf.DUMMYFUNCTION("INDEX(SPLIT(E10, char(10)), 0, 1)/86400+date(1970,1,1)"),44361.57703703704)</f>
        <v>44361.57704</v>
      </c>
      <c r="G10" s="86" t="s">
        <v>1058</v>
      </c>
      <c r="H10" s="86" t="s">
        <v>1059</v>
      </c>
      <c r="I10" s="40" t="s">
        <v>15</v>
      </c>
    </row>
    <row r="11">
      <c r="A11" s="71"/>
      <c r="B11" s="71"/>
      <c r="C11" s="71"/>
      <c r="D11" s="71"/>
      <c r="E11" s="89">
        <v>1.623679368E9</v>
      </c>
      <c r="F11" s="66">
        <f>IFERROR(__xludf.DUMMYFUNCTION("INDEX(SPLIT(E11, char(10)), 0, 1)/86400+date(1970,1,1)"),44361.585277777776)</f>
        <v>44361.58528</v>
      </c>
      <c r="G11" s="86" t="s">
        <v>1060</v>
      </c>
      <c r="H11" s="86" t="s">
        <v>1061</v>
      </c>
      <c r="I11" s="40" t="s">
        <v>16</v>
      </c>
    </row>
    <row r="12">
      <c r="A12" s="72" t="s">
        <v>121</v>
      </c>
      <c r="B12" s="90" t="s">
        <v>1062</v>
      </c>
      <c r="C12" s="74"/>
      <c r="D12" s="74"/>
      <c r="E12" s="89">
        <v>1.623679565E9</v>
      </c>
      <c r="F12" s="66">
        <f>IFERROR(__xludf.DUMMYFUNCTION("INDEX(SPLIT(E12, char(10)), 0, 1)/86400+date(1970,1,1)"),44361.58755787037)</f>
        <v>44361.58756</v>
      </c>
      <c r="G12" s="86" t="s">
        <v>1063</v>
      </c>
      <c r="H12" s="86" t="s">
        <v>1064</v>
      </c>
      <c r="I12" s="40" t="s">
        <v>17</v>
      </c>
    </row>
    <row r="13">
      <c r="A13" s="72" t="s">
        <v>125</v>
      </c>
      <c r="B13" s="74"/>
      <c r="C13" s="72" t="s">
        <v>89</v>
      </c>
      <c r="D13" s="72" t="s">
        <v>90</v>
      </c>
      <c r="E13" s="89">
        <v>1.623679682E9</v>
      </c>
      <c r="F13" s="66">
        <f>IFERROR(__xludf.DUMMYFUNCTION("INDEX(SPLIT(E13, char(10)), 0, 1)/86400+date(1970,1,1)"),44361.58891203704)</f>
        <v>44361.58891</v>
      </c>
      <c r="G13" s="86" t="s">
        <v>683</v>
      </c>
      <c r="H13" s="86" t="s">
        <v>1065</v>
      </c>
      <c r="I13" s="40" t="s">
        <v>17</v>
      </c>
    </row>
    <row r="14">
      <c r="A14" s="5" t="s">
        <v>128</v>
      </c>
      <c r="B14" s="5" t="s">
        <v>129</v>
      </c>
      <c r="C14" s="75">
        <f t="shared" ref="C14:C17" si="5">COUNTIF($A$19:$A1000, A14)</f>
        <v>2</v>
      </c>
      <c r="D14" s="76">
        <f>IFERROR(__xludf.DUMMYFUNCTION("IF(C14, COUNTIF(FILTER($D$19:$D1000, $A$19:$A1000=A14), TRUE)/C14, 0)"),1.0)</f>
        <v>1</v>
      </c>
      <c r="E14" s="89">
        <v>1.623679792E9</v>
      </c>
      <c r="F14" s="66">
        <f>IFERROR(__xludf.DUMMYFUNCTION("INDEX(SPLIT(E14, char(10)), 0, 1)/86400+date(1970,1,1)"),44361.59018518518)</f>
        <v>44361.59019</v>
      </c>
      <c r="G14" s="86" t="s">
        <v>1066</v>
      </c>
      <c r="H14" s="86" t="s">
        <v>1067</v>
      </c>
      <c r="I14" s="40" t="s">
        <v>16</v>
      </c>
    </row>
    <row r="15">
      <c r="A15" s="5" t="s">
        <v>6</v>
      </c>
      <c r="B15" s="5" t="s">
        <v>132</v>
      </c>
      <c r="C15" s="75">
        <f t="shared" si="5"/>
        <v>0</v>
      </c>
      <c r="D15" s="76">
        <f>IFERROR(__xludf.DUMMYFUNCTION("IF(C15, COUNTIF(FILTER($D$19:$D1000, $A$19:$A1000=A15), TRUE)/C15, 0)"),0.0)</f>
        <v>0</v>
      </c>
      <c r="E15" s="89">
        <v>1.623679893E9</v>
      </c>
      <c r="F15" s="66">
        <f>IFERROR(__xludf.DUMMYFUNCTION("INDEX(SPLIT(E15, char(10)), 0, 1)/86400+date(1970,1,1)"),44361.59135416667)</f>
        <v>44361.59135</v>
      </c>
      <c r="G15" s="86" t="s">
        <v>1068</v>
      </c>
      <c r="H15" s="86" t="s">
        <v>1069</v>
      </c>
      <c r="I15" s="40" t="s">
        <v>75</v>
      </c>
    </row>
    <row r="16">
      <c r="A16" s="5" t="s">
        <v>7</v>
      </c>
      <c r="B16" s="5" t="s">
        <v>135</v>
      </c>
      <c r="C16" s="75">
        <f t="shared" si="5"/>
        <v>4</v>
      </c>
      <c r="D16" s="76">
        <f>IFERROR(__xludf.DUMMYFUNCTION("IF(C16, COUNTIF(FILTER($D$19:$D1000, $A$19:$A1000=A16), TRUE)/C16, 0)"),0.5)</f>
        <v>0.5</v>
      </c>
      <c r="E16" s="89">
        <v>1.623680004E9</v>
      </c>
      <c r="F16" s="66">
        <f>IFERROR(__xludf.DUMMYFUNCTION("INDEX(SPLIT(E16, char(10)), 0, 1)/86400+date(1970,1,1)"),44361.59263888889)</f>
        <v>44361.59264</v>
      </c>
      <c r="G16" s="86" t="s">
        <v>1070</v>
      </c>
      <c r="H16" s="86" t="s">
        <v>1071</v>
      </c>
      <c r="I16" s="40" t="s">
        <v>15</v>
      </c>
    </row>
    <row r="17">
      <c r="A17" s="5" t="s">
        <v>8</v>
      </c>
      <c r="B17" s="5" t="s">
        <v>79</v>
      </c>
      <c r="C17" s="75">
        <f t="shared" si="5"/>
        <v>10</v>
      </c>
      <c r="D17" s="76">
        <f>IFERROR(__xludf.DUMMYFUNCTION("IF(C17, COUNTIF(FILTER($D$19:$D1000, $A$19:$A1000=A17), TRUE)/C17, 0)"),0.6)</f>
        <v>0.6</v>
      </c>
      <c r="E17" s="89">
        <v>1.623680134E9</v>
      </c>
      <c r="F17" s="66">
        <f>IFERROR(__xludf.DUMMYFUNCTION("INDEX(SPLIT(E17, char(10)), 0, 1)/86400+date(1970,1,1)"),44361.59414351852)</f>
        <v>44361.59414</v>
      </c>
      <c r="G17" s="86" t="s">
        <v>1072</v>
      </c>
      <c r="H17" s="86" t="s">
        <v>1073</v>
      </c>
      <c r="I17" s="40" t="s">
        <v>15</v>
      </c>
    </row>
    <row r="18">
      <c r="A18" s="74"/>
      <c r="B18" s="72" t="s">
        <v>9</v>
      </c>
      <c r="C18" s="75">
        <f>SUM(C14:C17)</f>
        <v>16</v>
      </c>
      <c r="D18" s="76">
        <f>COUNTIF($D$19:$D1000, TRUE)/SUM($C$14:$C$17)</f>
        <v>0.625</v>
      </c>
      <c r="E18" s="89">
        <v>1.623680289E9</v>
      </c>
      <c r="F18" s="66">
        <f>IFERROR(__xludf.DUMMYFUNCTION("INDEX(SPLIT(E18, char(10)), 0, 1)/86400+date(1970,1,1)"),44361.595937499995)</f>
        <v>44361.59594</v>
      </c>
      <c r="G18" s="86" t="s">
        <v>1074</v>
      </c>
      <c r="H18" s="86" t="s">
        <v>1075</v>
      </c>
      <c r="I18" s="40" t="s">
        <v>17</v>
      </c>
    </row>
    <row r="19">
      <c r="A19" s="72" t="s">
        <v>95</v>
      </c>
      <c r="B19" s="72" t="s">
        <v>142</v>
      </c>
      <c r="C19" s="72" t="s">
        <v>143</v>
      </c>
      <c r="D19" s="72" t="s">
        <v>144</v>
      </c>
      <c r="E19" s="89">
        <v>1.623680447E9</v>
      </c>
      <c r="F19" s="66">
        <f>IFERROR(__xludf.DUMMYFUNCTION("INDEX(SPLIT(E19, char(10)), 0, 1)/86400+date(1970,1,1)"),44361.597766203704)</f>
        <v>44361.59777</v>
      </c>
      <c r="G19" s="86" t="s">
        <v>1076</v>
      </c>
      <c r="H19" s="86" t="s">
        <v>1077</v>
      </c>
      <c r="I19" s="40" t="s">
        <v>17</v>
      </c>
    </row>
    <row r="20">
      <c r="A20" s="77" t="s">
        <v>7</v>
      </c>
      <c r="B20" s="77" t="s">
        <v>147</v>
      </c>
      <c r="C20" s="78">
        <v>1.0</v>
      </c>
      <c r="D20" s="80" t="b">
        <v>0</v>
      </c>
      <c r="E20" s="89">
        <v>1.623680617E9</v>
      </c>
      <c r="F20" s="66">
        <f>IFERROR(__xludf.DUMMYFUNCTION("INDEX(SPLIT(E20, char(10)), 0, 1)/86400+date(1970,1,1)"),44361.5997337963)</f>
        <v>44361.59973</v>
      </c>
      <c r="G20" s="86" t="s">
        <v>1078</v>
      </c>
      <c r="H20" s="86" t="s">
        <v>1079</v>
      </c>
      <c r="I20" s="40" t="s">
        <v>17</v>
      </c>
    </row>
    <row r="21">
      <c r="A21" s="77" t="s">
        <v>128</v>
      </c>
      <c r="B21" s="77" t="s">
        <v>971</v>
      </c>
      <c r="C21" s="78">
        <v>42.0</v>
      </c>
      <c r="D21" s="80" t="b">
        <v>1</v>
      </c>
      <c r="E21" s="89">
        <v>1.623680786E9</v>
      </c>
      <c r="F21" s="66">
        <f>IFERROR(__xludf.DUMMYFUNCTION("INDEX(SPLIT(E21, char(10)), 0, 1)/86400+date(1970,1,1)"),44361.601689814815)</f>
        <v>44361.60169</v>
      </c>
      <c r="G21" s="86" t="s">
        <v>1080</v>
      </c>
      <c r="H21" s="86" t="s">
        <v>1081</v>
      </c>
      <c r="I21" s="40" t="s">
        <v>16</v>
      </c>
    </row>
    <row r="22">
      <c r="A22" s="77" t="s">
        <v>7</v>
      </c>
      <c r="B22" s="77" t="s">
        <v>153</v>
      </c>
      <c r="C22" s="78">
        <v>45.0</v>
      </c>
      <c r="D22" s="80" t="b">
        <v>0</v>
      </c>
      <c r="E22" s="89">
        <v>1.623680884E9</v>
      </c>
      <c r="F22" s="66">
        <f>IFERROR(__xludf.DUMMYFUNCTION("INDEX(SPLIT(E22, char(10)), 0, 1)/86400+date(1970,1,1)"),44361.60282407407)</f>
        <v>44361.60282</v>
      </c>
      <c r="G22" s="86" t="s">
        <v>1082</v>
      </c>
      <c r="H22" s="86" t="s">
        <v>1083</v>
      </c>
      <c r="I22" s="40" t="s">
        <v>16</v>
      </c>
    </row>
    <row r="23">
      <c r="A23" s="77" t="s">
        <v>7</v>
      </c>
      <c r="B23" s="77" t="s">
        <v>156</v>
      </c>
      <c r="C23" s="78">
        <v>46.0</v>
      </c>
      <c r="D23" s="80" t="b">
        <v>1</v>
      </c>
      <c r="E23" s="89">
        <v>1.623681428E9</v>
      </c>
      <c r="F23" s="66">
        <f>IFERROR(__xludf.DUMMYFUNCTION("INDEX(SPLIT(E23, char(10)), 0, 1)/86400+date(1970,1,1)"),44361.60912037037)</f>
        <v>44361.60912</v>
      </c>
      <c r="G23" s="86" t="s">
        <v>1084</v>
      </c>
      <c r="H23" s="86" t="s">
        <v>1085</v>
      </c>
      <c r="I23" s="40" t="s">
        <v>16</v>
      </c>
    </row>
    <row r="24">
      <c r="A24" s="5" t="s">
        <v>8</v>
      </c>
      <c r="B24" s="5" t="s">
        <v>978</v>
      </c>
      <c r="C24" s="78">
        <v>46.0</v>
      </c>
      <c r="D24" s="80" t="b">
        <v>1</v>
      </c>
      <c r="E24" s="89">
        <v>1.62368207E9</v>
      </c>
      <c r="F24" s="66">
        <f>IFERROR(__xludf.DUMMYFUNCTION("INDEX(SPLIT(E24, char(10)), 0, 1)/86400+date(1970,1,1)"),44361.61655092593)</f>
        <v>44361.61655</v>
      </c>
      <c r="G24" s="86" t="s">
        <v>1086</v>
      </c>
      <c r="H24" s="86" t="s">
        <v>1087</v>
      </c>
      <c r="I24" s="40" t="s">
        <v>15</v>
      </c>
    </row>
    <row r="25">
      <c r="A25" s="77" t="s">
        <v>128</v>
      </c>
      <c r="B25" s="74" t="s">
        <v>971</v>
      </c>
      <c r="C25" s="78">
        <v>52.0</v>
      </c>
      <c r="D25" s="80" t="b">
        <v>1</v>
      </c>
      <c r="E25" s="89">
        <v>1.623682353E9</v>
      </c>
      <c r="F25" s="66">
        <f>IFERROR(__xludf.DUMMYFUNCTION("INDEX(SPLIT(E25, char(10)), 0, 1)/86400+date(1970,1,1)"),44361.61982638889)</f>
        <v>44361.61983</v>
      </c>
      <c r="G25" s="86" t="s">
        <v>1088</v>
      </c>
      <c r="H25" s="86" t="s">
        <v>1089</v>
      </c>
      <c r="I25" s="40" t="s">
        <v>16</v>
      </c>
    </row>
    <row r="26">
      <c r="A26" s="77" t="s">
        <v>8</v>
      </c>
      <c r="B26" s="74" t="s">
        <v>983</v>
      </c>
      <c r="C26" s="78">
        <v>67.0</v>
      </c>
      <c r="D26" s="80" t="b">
        <v>0</v>
      </c>
      <c r="F26" s="66"/>
      <c r="G26" s="86"/>
      <c r="H26" s="86"/>
      <c r="I26" s="41"/>
    </row>
    <row r="27">
      <c r="A27" s="77" t="s">
        <v>8</v>
      </c>
      <c r="B27" s="74" t="s">
        <v>986</v>
      </c>
      <c r="C27" s="78">
        <v>67.0</v>
      </c>
      <c r="D27" s="80" t="b">
        <v>1</v>
      </c>
      <c r="F27" s="66"/>
      <c r="G27" s="86"/>
      <c r="H27" s="86"/>
      <c r="I27" s="41"/>
    </row>
    <row r="28">
      <c r="A28" s="77" t="s">
        <v>8</v>
      </c>
      <c r="B28" s="91" t="s">
        <v>989</v>
      </c>
      <c r="C28" s="78">
        <v>67.0</v>
      </c>
      <c r="D28" s="80" t="b">
        <v>1</v>
      </c>
      <c r="F28" s="66"/>
      <c r="G28" s="86"/>
      <c r="H28" s="86"/>
      <c r="I28" s="41"/>
    </row>
    <row r="29">
      <c r="A29" s="77" t="s">
        <v>8</v>
      </c>
      <c r="B29" s="74" t="s">
        <v>992</v>
      </c>
      <c r="C29" s="78">
        <v>72.0</v>
      </c>
      <c r="D29" s="80" t="b">
        <v>1</v>
      </c>
      <c r="F29" s="66"/>
      <c r="G29" s="86"/>
      <c r="H29" s="86"/>
      <c r="I29" s="41"/>
    </row>
    <row r="30">
      <c r="A30" s="77" t="s">
        <v>8</v>
      </c>
      <c r="B30" s="74" t="s">
        <v>995</v>
      </c>
      <c r="C30" s="78">
        <v>72.0</v>
      </c>
      <c r="D30" s="80" t="b">
        <v>0</v>
      </c>
      <c r="F30" s="66"/>
      <c r="G30" s="86"/>
      <c r="H30" s="86"/>
      <c r="I30" s="41"/>
    </row>
    <row r="31">
      <c r="A31" s="77" t="s">
        <v>8</v>
      </c>
      <c r="B31" s="74" t="s">
        <v>998</v>
      </c>
      <c r="C31" s="78">
        <v>79.0</v>
      </c>
      <c r="D31" s="80" t="b">
        <v>1</v>
      </c>
      <c r="F31" s="66"/>
      <c r="G31" s="86"/>
      <c r="H31" s="86"/>
      <c r="I31" s="41"/>
    </row>
    <row r="32">
      <c r="A32" s="77" t="s">
        <v>8</v>
      </c>
      <c r="B32" s="74" t="s">
        <v>1001</v>
      </c>
      <c r="C32" s="78">
        <v>79.0</v>
      </c>
      <c r="D32" s="80" t="b">
        <v>1</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0.04651162791</v>
      </c>
      <c r="E2" s="40">
        <v>1.62410762E9</v>
      </c>
      <c r="F2" s="66">
        <f>IFERROR(__xludf.DUMMYFUNCTION("INDEX(SPLIT(E2, char(10)), 0, 1)/86400+date(1970,1,1)"),44366.54189814815)</f>
        <v>44366.5419</v>
      </c>
      <c r="G2" s="86" t="s">
        <v>1090</v>
      </c>
      <c r="H2" s="86" t="s">
        <v>1091</v>
      </c>
      <c r="I2" s="40" t="s">
        <v>15</v>
      </c>
      <c r="J2" s="40"/>
    </row>
    <row r="3">
      <c r="A3" s="40" t="s">
        <v>14</v>
      </c>
      <c r="B3" s="40" t="s">
        <v>99</v>
      </c>
      <c r="C3" s="40">
        <f t="shared" si="1"/>
        <v>12</v>
      </c>
      <c r="D3" s="64">
        <f t="shared" si="2"/>
        <v>0.2790697674</v>
      </c>
      <c r="E3" s="40">
        <v>1.624107724E9</v>
      </c>
      <c r="F3" s="66">
        <f>IFERROR(__xludf.DUMMYFUNCTION("INDEX(SPLIT(E3, char(10)), 0, 1)/86400+date(1970,1,1)"),44366.54310185185)</f>
        <v>44366.5431</v>
      </c>
      <c r="G3" s="86" t="s">
        <v>1092</v>
      </c>
      <c r="H3" s="86" t="s">
        <v>1093</v>
      </c>
      <c r="I3" s="40" t="s">
        <v>17</v>
      </c>
      <c r="J3" s="40"/>
    </row>
    <row r="4">
      <c r="A4" s="40" t="s">
        <v>15</v>
      </c>
      <c r="B4" s="40" t="s">
        <v>102</v>
      </c>
      <c r="C4" s="40">
        <f t="shared" si="1"/>
        <v>11</v>
      </c>
      <c r="D4" s="64">
        <f t="shared" si="2"/>
        <v>0.2558139535</v>
      </c>
      <c r="E4" s="40">
        <v>1.624108126E9</v>
      </c>
      <c r="F4" s="66">
        <f>IFERROR(__xludf.DUMMYFUNCTION("INDEX(SPLIT(E4, char(10)), 0, 1)/86400+date(1970,1,1)"),44366.54775462963)</f>
        <v>44366.54775</v>
      </c>
      <c r="G4" s="86" t="s">
        <v>1094</v>
      </c>
      <c r="H4" s="86" t="s">
        <v>1095</v>
      </c>
      <c r="I4" s="40" t="s">
        <v>15</v>
      </c>
      <c r="J4" s="40"/>
    </row>
    <row r="5">
      <c r="A5" s="40" t="s">
        <v>16</v>
      </c>
      <c r="B5" s="40" t="s">
        <v>105</v>
      </c>
      <c r="C5" s="40">
        <f t="shared" si="1"/>
        <v>8</v>
      </c>
      <c r="D5" s="64">
        <f t="shared" si="2"/>
        <v>0.1860465116</v>
      </c>
      <c r="E5" s="40">
        <v>1.624108217E9</v>
      </c>
      <c r="F5" s="66">
        <f>IFERROR(__xludf.DUMMYFUNCTION("INDEX(SPLIT(E5, char(10)), 0, 1)/86400+date(1970,1,1)"),44366.54880787037)</f>
        <v>44366.54881</v>
      </c>
      <c r="G5" s="86" t="s">
        <v>838</v>
      </c>
      <c r="H5" s="86" t="s">
        <v>1096</v>
      </c>
      <c r="I5" s="40" t="s">
        <v>16</v>
      </c>
      <c r="J5" s="40"/>
    </row>
    <row r="6">
      <c r="A6" s="40" t="s">
        <v>17</v>
      </c>
      <c r="B6" s="40" t="s">
        <v>108</v>
      </c>
      <c r="C6" s="40">
        <f t="shared" si="1"/>
        <v>10</v>
      </c>
      <c r="D6" s="64">
        <f t="shared" si="2"/>
        <v>0.2325581395</v>
      </c>
      <c r="E6" s="40">
        <v>1.624108428E9</v>
      </c>
      <c r="F6" s="66">
        <f>IFERROR(__xludf.DUMMYFUNCTION("INDEX(SPLIT(E6, char(10)), 0, 1)/86400+date(1970,1,1)"),44366.551250000004)</f>
        <v>44366.55125</v>
      </c>
      <c r="G6" s="86" t="s">
        <v>1097</v>
      </c>
      <c r="H6" s="86" t="s">
        <v>1098</v>
      </c>
      <c r="I6" s="40" t="s">
        <v>17</v>
      </c>
    </row>
    <row r="7">
      <c r="B7" s="40" t="s">
        <v>13</v>
      </c>
      <c r="C7" s="69">
        <f t="shared" ref="C7:D7" si="3">SUM(C2:C6)</f>
        <v>43</v>
      </c>
      <c r="D7" s="70">
        <f t="shared" si="3"/>
        <v>1</v>
      </c>
      <c r="E7" s="40">
        <v>1.624108647E9</v>
      </c>
      <c r="F7" s="66">
        <f>IFERROR(__xludf.DUMMYFUNCTION("INDEX(SPLIT(E7, char(10)), 0, 1)/86400+date(1970,1,1)"),44366.55378472222)</f>
        <v>44366.55378</v>
      </c>
      <c r="G7" s="86" t="s">
        <v>1099</v>
      </c>
      <c r="H7" s="86" t="s">
        <v>1100</v>
      </c>
      <c r="I7" s="40" t="s">
        <v>17</v>
      </c>
    </row>
    <row r="8">
      <c r="A8" s="71"/>
      <c r="B8" s="40" t="s">
        <v>18</v>
      </c>
      <c r="C8" s="57">
        <f t="shared" ref="C8:D8" si="4">SUM(C5:C6)</f>
        <v>18</v>
      </c>
      <c r="D8" s="14">
        <f t="shared" si="4"/>
        <v>0.4186046512</v>
      </c>
      <c r="E8" s="40">
        <v>1.624108769E9</v>
      </c>
      <c r="F8" s="66">
        <f>IFERROR(__xludf.DUMMYFUNCTION("INDEX(SPLIT(E8, char(10)), 0, 1)/86400+date(1970,1,1)"),44366.55519675926)</f>
        <v>44366.5552</v>
      </c>
      <c r="G8" s="86" t="s">
        <v>1101</v>
      </c>
      <c r="H8" s="86" t="s">
        <v>1102</v>
      </c>
      <c r="I8" s="40" t="s">
        <v>14</v>
      </c>
    </row>
    <row r="9">
      <c r="A9" s="71"/>
      <c r="B9" s="40" t="s">
        <v>47</v>
      </c>
      <c r="C9" s="57">
        <f>SUM(C6:C7)</f>
        <v>53</v>
      </c>
      <c r="D9" s="14">
        <f>SUM(D5:D6) + D2</f>
        <v>0.4651162791</v>
      </c>
      <c r="E9" s="40">
        <v>1.624108992E9</v>
      </c>
      <c r="F9" s="66">
        <f>IFERROR(__xludf.DUMMYFUNCTION("INDEX(SPLIT(E9, char(10)), 0, 1)/86400+date(1970,1,1)"),44366.55777777778)</f>
        <v>44366.55778</v>
      </c>
      <c r="G9" s="86" t="s">
        <v>1103</v>
      </c>
      <c r="H9" s="86" t="s">
        <v>1104</v>
      </c>
      <c r="I9" s="40" t="s">
        <v>14</v>
      </c>
    </row>
    <row r="10">
      <c r="A10" s="71"/>
      <c r="B10" s="71"/>
      <c r="C10" s="71"/>
      <c r="D10" s="71"/>
      <c r="E10" s="40">
        <v>1.624109146E9</v>
      </c>
      <c r="F10" s="66">
        <f>IFERROR(__xludf.DUMMYFUNCTION("INDEX(SPLIT(E10, char(10)), 0, 1)/86400+date(1970,1,1)"),44366.55956018518)</f>
        <v>44366.55956</v>
      </c>
      <c r="G10" s="86" t="s">
        <v>1105</v>
      </c>
      <c r="H10" s="86" t="s">
        <v>1106</v>
      </c>
      <c r="I10" s="40" t="s">
        <v>16</v>
      </c>
    </row>
    <row r="11">
      <c r="A11" s="71"/>
      <c r="B11" s="71"/>
      <c r="C11" s="71"/>
      <c r="D11" s="71"/>
      <c r="E11" s="40">
        <v>1.624109435E9</v>
      </c>
      <c r="F11" s="66">
        <f>IFERROR(__xludf.DUMMYFUNCTION("INDEX(SPLIT(E11, char(10)), 0, 1)/86400+date(1970,1,1)"),44366.56290509259)</f>
        <v>44366.56291</v>
      </c>
      <c r="G11" s="86" t="s">
        <v>1107</v>
      </c>
      <c r="H11" s="86" t="s">
        <v>1108</v>
      </c>
      <c r="I11" s="40" t="s">
        <v>14</v>
      </c>
    </row>
    <row r="12">
      <c r="A12" s="72" t="s">
        <v>121</v>
      </c>
      <c r="B12" s="90" t="s">
        <v>1109</v>
      </c>
      <c r="C12" s="88"/>
      <c r="D12" s="74"/>
      <c r="E12" s="40">
        <v>1.624109525E9</v>
      </c>
      <c r="F12" s="66">
        <f>IFERROR(__xludf.DUMMYFUNCTION("INDEX(SPLIT(E12, char(10)), 0, 1)/86400+date(1970,1,1)"),44366.563946759255)</f>
        <v>44366.56395</v>
      </c>
      <c r="G12" s="86" t="s">
        <v>1110</v>
      </c>
      <c r="H12" s="86" t="s">
        <v>1111</v>
      </c>
      <c r="I12" s="40" t="s">
        <v>17</v>
      </c>
    </row>
    <row r="13">
      <c r="A13" s="72" t="s">
        <v>125</v>
      </c>
      <c r="B13" s="74"/>
      <c r="C13" s="72" t="s">
        <v>89</v>
      </c>
      <c r="D13" s="72" t="s">
        <v>90</v>
      </c>
      <c r="E13" s="40">
        <v>1.624109625E9</v>
      </c>
      <c r="F13" s="66">
        <f>IFERROR(__xludf.DUMMYFUNCTION("INDEX(SPLIT(E13, char(10)), 0, 1)/86400+date(1970,1,1)"),44366.56510416667)</f>
        <v>44366.5651</v>
      </c>
      <c r="G13" s="86" t="s">
        <v>1112</v>
      </c>
      <c r="H13" s="86" t="s">
        <v>1113</v>
      </c>
      <c r="I13" s="40" t="s">
        <v>14</v>
      </c>
    </row>
    <row r="14">
      <c r="A14" s="5" t="s">
        <v>128</v>
      </c>
      <c r="B14" s="5" t="s">
        <v>129</v>
      </c>
      <c r="C14" s="75">
        <f t="shared" ref="C14:C17" si="5">COUNTIF($A$19:$A1000, A14)</f>
        <v>2</v>
      </c>
      <c r="D14" s="76">
        <f>IFERROR(__xludf.DUMMYFUNCTION("IF(C14, COUNTIF(FILTER($D$19:$D1000, $A$19:$A1000=A14), TRUE)/C14, 0)"),1.0)</f>
        <v>1</v>
      </c>
      <c r="E14" s="40">
        <v>1.624109753E9</v>
      </c>
      <c r="F14" s="66">
        <f>IFERROR(__xludf.DUMMYFUNCTION("INDEX(SPLIT(E14, char(10)), 0, 1)/86400+date(1970,1,1)"),44366.56658564815)</f>
        <v>44366.56659</v>
      </c>
      <c r="G14" s="86" t="s">
        <v>1114</v>
      </c>
      <c r="H14" s="86" t="s">
        <v>1115</v>
      </c>
      <c r="I14" s="40" t="s">
        <v>15</v>
      </c>
    </row>
    <row r="15">
      <c r="A15" s="5" t="s">
        <v>6</v>
      </c>
      <c r="B15" s="5" t="s">
        <v>132</v>
      </c>
      <c r="C15" s="75">
        <f t="shared" si="5"/>
        <v>2</v>
      </c>
      <c r="D15" s="76">
        <f>IFERROR(__xludf.DUMMYFUNCTION("IF(C15, COUNTIF(FILTER($D$19:$D1000, $A$19:$A1000=A15), TRUE)/C15, 0)"),0.5)</f>
        <v>0.5</v>
      </c>
      <c r="E15" s="40">
        <v>1.624109889E9</v>
      </c>
      <c r="F15" s="66">
        <f>IFERROR(__xludf.DUMMYFUNCTION("INDEX(SPLIT(E15, char(10)), 0, 1)/86400+date(1970,1,1)"),44366.56815972222)</f>
        <v>44366.56816</v>
      </c>
      <c r="G15" s="86" t="s">
        <v>1116</v>
      </c>
      <c r="H15" s="86" t="s">
        <v>1117</v>
      </c>
      <c r="I15" s="40" t="s">
        <v>15</v>
      </c>
    </row>
    <row r="16">
      <c r="A16" s="5" t="s">
        <v>7</v>
      </c>
      <c r="B16" s="5" t="s">
        <v>135</v>
      </c>
      <c r="C16" s="75">
        <f t="shared" si="5"/>
        <v>4</v>
      </c>
      <c r="D16" s="76">
        <f>IFERROR(__xludf.DUMMYFUNCTION("IF(C16, COUNTIF(FILTER($D$19:$D1000, $A$19:$A1000=A16), TRUE)/C16, 0)"),0.25)</f>
        <v>0.25</v>
      </c>
      <c r="E16" s="40">
        <v>1.62411021E9</v>
      </c>
      <c r="F16" s="66">
        <f>IFERROR(__xludf.DUMMYFUNCTION("INDEX(SPLIT(E16, char(10)), 0, 1)/86400+date(1970,1,1)"),44366.571875)</f>
        <v>44366.57188</v>
      </c>
      <c r="G16" s="86" t="s">
        <v>1118</v>
      </c>
      <c r="H16" s="86" t="s">
        <v>1119</v>
      </c>
      <c r="I16" s="40" t="s">
        <v>15</v>
      </c>
    </row>
    <row r="17">
      <c r="A17" s="5" t="s">
        <v>8</v>
      </c>
      <c r="B17" s="5" t="s">
        <v>79</v>
      </c>
      <c r="C17" s="75">
        <f t="shared" si="5"/>
        <v>7</v>
      </c>
      <c r="D17" s="76">
        <f>IFERROR(__xludf.DUMMYFUNCTION("IF(C17, COUNTIF(FILTER($D$19:$D1000, $A$19:$A1000=A17), TRUE)/C17, 0)"),0.7142857142857143)</f>
        <v>0.7142857143</v>
      </c>
      <c r="E17" s="40">
        <v>1.624110416E9</v>
      </c>
      <c r="F17" s="66">
        <f>IFERROR(__xludf.DUMMYFUNCTION("INDEX(SPLIT(E17, char(10)), 0, 1)/86400+date(1970,1,1)"),44366.57425925926)</f>
        <v>44366.57426</v>
      </c>
      <c r="G17" s="86" t="s">
        <v>1120</v>
      </c>
      <c r="H17" s="86" t="s">
        <v>1121</v>
      </c>
      <c r="I17" s="40" t="s">
        <v>16</v>
      </c>
    </row>
    <row r="18">
      <c r="A18" s="74"/>
      <c r="B18" s="72" t="s">
        <v>9</v>
      </c>
      <c r="C18" s="75">
        <f>SUM(C14:C17)</f>
        <v>15</v>
      </c>
      <c r="D18" s="76">
        <f>COUNTIF($D$19:$D1000, TRUE)/SUM($C$14:$C$17)</f>
        <v>0.6</v>
      </c>
      <c r="E18" s="40">
        <v>1.624110507E9</v>
      </c>
      <c r="F18" s="66">
        <f>IFERROR(__xludf.DUMMYFUNCTION("INDEX(SPLIT(E18, char(10)), 0, 1)/86400+date(1970,1,1)"),44366.575312500005)</f>
        <v>44366.57531</v>
      </c>
      <c r="G18" s="86" t="s">
        <v>1122</v>
      </c>
      <c r="H18" s="86" t="s">
        <v>1123</v>
      </c>
      <c r="I18" s="40" t="s">
        <v>17</v>
      </c>
    </row>
    <row r="19">
      <c r="A19" s="72" t="s">
        <v>95</v>
      </c>
      <c r="B19" s="72" t="s">
        <v>142</v>
      </c>
      <c r="C19" s="72" t="s">
        <v>143</v>
      </c>
      <c r="D19" s="72" t="s">
        <v>144</v>
      </c>
      <c r="E19" s="40">
        <v>1.624110609E9</v>
      </c>
      <c r="F19" s="66">
        <f>IFERROR(__xludf.DUMMYFUNCTION("INDEX(SPLIT(E19, char(10)), 0, 1)/86400+date(1970,1,1)"),44366.57649305556)</f>
        <v>44366.57649</v>
      </c>
      <c r="G19" s="86" t="s">
        <v>1124</v>
      </c>
      <c r="H19" s="86" t="s">
        <v>1125</v>
      </c>
      <c r="I19" s="40" t="s">
        <v>14</v>
      </c>
    </row>
    <row r="20">
      <c r="A20" s="77" t="s">
        <v>7</v>
      </c>
      <c r="B20" s="77" t="s">
        <v>147</v>
      </c>
      <c r="C20" s="78">
        <v>1.0</v>
      </c>
      <c r="D20" s="80" t="b">
        <v>0</v>
      </c>
      <c r="E20" s="40">
        <v>1.624110699E9</v>
      </c>
      <c r="F20" s="66">
        <f>IFERROR(__xludf.DUMMYFUNCTION("INDEX(SPLIT(E20, char(10)), 0, 1)/86400+date(1970,1,1)"),44366.57753472222)</f>
        <v>44366.57753</v>
      </c>
      <c r="G20" s="86" t="s">
        <v>1126</v>
      </c>
      <c r="H20" s="86" t="s">
        <v>1127</v>
      </c>
      <c r="I20" s="40" t="s">
        <v>14</v>
      </c>
    </row>
    <row r="21">
      <c r="A21" s="77" t="s">
        <v>6</v>
      </c>
      <c r="B21" s="77" t="s">
        <v>1128</v>
      </c>
      <c r="C21" s="78">
        <v>10.0</v>
      </c>
      <c r="D21" s="80" t="b">
        <v>1</v>
      </c>
      <c r="E21" s="40">
        <v>1.624110818E9</v>
      </c>
      <c r="F21" s="66">
        <f>IFERROR(__xludf.DUMMYFUNCTION("INDEX(SPLIT(E21, char(10)), 0, 1)/86400+date(1970,1,1)"),44366.57891203703)</f>
        <v>44366.57891</v>
      </c>
      <c r="G21" s="86" t="s">
        <v>1129</v>
      </c>
      <c r="H21" s="86" t="s">
        <v>1130</v>
      </c>
      <c r="I21" s="40" t="s">
        <v>15</v>
      </c>
    </row>
    <row r="22">
      <c r="A22" s="77" t="s">
        <v>8</v>
      </c>
      <c r="B22" s="77" t="s">
        <v>1131</v>
      </c>
      <c r="C22" s="78">
        <v>26.0</v>
      </c>
      <c r="D22" s="80" t="b">
        <v>1</v>
      </c>
      <c r="E22" s="40">
        <v>1.62411104E9</v>
      </c>
      <c r="F22" s="66">
        <f>IFERROR(__xludf.DUMMYFUNCTION("INDEX(SPLIT(E22, char(10)), 0, 1)/86400+date(1970,1,1)"),44366.58148148148)</f>
        <v>44366.58148</v>
      </c>
      <c r="G22" s="86" t="s">
        <v>1132</v>
      </c>
      <c r="H22" s="86" t="s">
        <v>1133</v>
      </c>
      <c r="I22" s="40" t="s">
        <v>14</v>
      </c>
    </row>
    <row r="23">
      <c r="A23" s="77" t="s">
        <v>128</v>
      </c>
      <c r="B23" s="77" t="s">
        <v>1134</v>
      </c>
      <c r="C23" s="78">
        <v>45.0</v>
      </c>
      <c r="D23" s="80" t="b">
        <v>1</v>
      </c>
      <c r="E23" s="40">
        <v>1.624111553E9</v>
      </c>
      <c r="F23" s="66">
        <f>IFERROR(__xludf.DUMMYFUNCTION("INDEX(SPLIT(E23, char(10)), 0, 1)/86400+date(1970,1,1)"),44366.58741898148)</f>
        <v>44366.58742</v>
      </c>
      <c r="G23" s="86" t="s">
        <v>1135</v>
      </c>
      <c r="H23" s="86" t="s">
        <v>1136</v>
      </c>
      <c r="I23" s="40" t="s">
        <v>15</v>
      </c>
    </row>
    <row r="24">
      <c r="A24" s="5" t="s">
        <v>7</v>
      </c>
      <c r="B24" s="5" t="s">
        <v>153</v>
      </c>
      <c r="C24" s="78">
        <v>45.0</v>
      </c>
      <c r="D24" s="80" t="b">
        <v>0</v>
      </c>
      <c r="E24" s="40">
        <v>1.624111705E9</v>
      </c>
      <c r="F24" s="66">
        <f>IFERROR(__xludf.DUMMYFUNCTION("INDEX(SPLIT(E24, char(10)), 0, 1)/86400+date(1970,1,1)"),44366.58917824074)</f>
        <v>44366.58918</v>
      </c>
      <c r="G24" s="86" t="s">
        <v>1137</v>
      </c>
      <c r="H24" s="86" t="s">
        <v>1138</v>
      </c>
      <c r="I24" s="40" t="s">
        <v>75</v>
      </c>
    </row>
    <row r="25">
      <c r="A25" s="77" t="s">
        <v>7</v>
      </c>
      <c r="B25" s="74" t="s">
        <v>156</v>
      </c>
      <c r="C25" s="78">
        <v>46.0</v>
      </c>
      <c r="D25" s="80" t="b">
        <v>0</v>
      </c>
      <c r="E25" s="40">
        <v>1.6241118E9</v>
      </c>
      <c r="F25" s="66">
        <f>IFERROR(__xludf.DUMMYFUNCTION("INDEX(SPLIT(E25, char(10)), 0, 1)/86400+date(1970,1,1)"),44366.59027777778)</f>
        <v>44366.59028</v>
      </c>
      <c r="G25" s="86" t="s">
        <v>1139</v>
      </c>
      <c r="H25" s="86" t="s">
        <v>1140</v>
      </c>
      <c r="I25" s="40" t="s">
        <v>15</v>
      </c>
    </row>
    <row r="26">
      <c r="A26" s="77" t="s">
        <v>6</v>
      </c>
      <c r="B26" s="74" t="s">
        <v>1141</v>
      </c>
      <c r="C26" s="78">
        <v>52.0</v>
      </c>
      <c r="D26" s="80" t="b">
        <v>0</v>
      </c>
      <c r="E26" s="40">
        <v>1.624111961E9</v>
      </c>
      <c r="F26" s="66">
        <f>IFERROR(__xludf.DUMMYFUNCTION("INDEX(SPLIT(E26, char(10)), 0, 1)/86400+date(1970,1,1)"),44366.5921412037)</f>
        <v>44366.59214</v>
      </c>
      <c r="G26" s="86" t="s">
        <v>1142</v>
      </c>
      <c r="H26" s="86" t="s">
        <v>1143</v>
      </c>
      <c r="I26" s="40" t="s">
        <v>14</v>
      </c>
    </row>
    <row r="27">
      <c r="A27" s="77" t="s">
        <v>8</v>
      </c>
      <c r="B27" s="74" t="s">
        <v>1144</v>
      </c>
      <c r="C27" s="78">
        <v>57.0</v>
      </c>
      <c r="D27" s="80" t="b">
        <v>1</v>
      </c>
      <c r="E27" s="40">
        <v>1.624112223E9</v>
      </c>
      <c r="F27" s="66">
        <f>IFERROR(__xludf.DUMMYFUNCTION("INDEX(SPLIT(E27, char(10)), 0, 1)/86400+date(1970,1,1)"),44366.59517361112)</f>
        <v>44366.59517</v>
      </c>
      <c r="G27" s="86" t="s">
        <v>1145</v>
      </c>
      <c r="H27" s="86" t="s">
        <v>1146</v>
      </c>
      <c r="I27" s="40" t="s">
        <v>16</v>
      </c>
    </row>
    <row r="28">
      <c r="A28" s="77" t="s">
        <v>128</v>
      </c>
      <c r="B28" s="74" t="s">
        <v>1147</v>
      </c>
      <c r="C28" s="78">
        <v>66.0</v>
      </c>
      <c r="D28" s="80" t="b">
        <v>1</v>
      </c>
      <c r="E28" s="40">
        <v>1.624112322E9</v>
      </c>
      <c r="F28" s="66">
        <f>IFERROR(__xludf.DUMMYFUNCTION("INDEX(SPLIT(E28, char(10)), 0, 1)/86400+date(1970,1,1)"),44366.59631944445)</f>
        <v>44366.59632</v>
      </c>
      <c r="G28" s="86" t="s">
        <v>1148</v>
      </c>
      <c r="H28" s="86" t="s">
        <v>1149</v>
      </c>
      <c r="I28" s="40" t="s">
        <v>15</v>
      </c>
    </row>
    <row r="29">
      <c r="A29" s="77" t="s">
        <v>8</v>
      </c>
      <c r="B29" s="74" t="s">
        <v>1150</v>
      </c>
      <c r="C29" s="78">
        <v>75.0</v>
      </c>
      <c r="D29" s="80" t="b">
        <v>0</v>
      </c>
      <c r="E29" s="40">
        <v>1.624112448E9</v>
      </c>
      <c r="F29" s="66">
        <f>IFERROR(__xludf.DUMMYFUNCTION("INDEX(SPLIT(E29, char(10)), 0, 1)/86400+date(1970,1,1)"),44366.59777777777)</f>
        <v>44366.59778</v>
      </c>
      <c r="G29" s="86" t="s">
        <v>1151</v>
      </c>
      <c r="H29" s="86" t="s">
        <v>1152</v>
      </c>
      <c r="I29" s="40" t="s">
        <v>15</v>
      </c>
    </row>
    <row r="30">
      <c r="A30" s="77" t="s">
        <v>8</v>
      </c>
      <c r="B30" s="74" t="s">
        <v>1153</v>
      </c>
      <c r="C30" s="78">
        <v>76.0</v>
      </c>
      <c r="D30" s="80" t="b">
        <v>1</v>
      </c>
      <c r="E30" s="40">
        <v>1.624112642E9</v>
      </c>
      <c r="F30" s="66">
        <f>IFERROR(__xludf.DUMMYFUNCTION("INDEX(SPLIT(E30, char(10)), 0, 1)/86400+date(1970,1,1)"),44366.600023148145)</f>
        <v>44366.60002</v>
      </c>
      <c r="G30" s="86" t="s">
        <v>1154</v>
      </c>
      <c r="H30" s="86" t="s">
        <v>1155</v>
      </c>
      <c r="I30" s="40" t="s">
        <v>14</v>
      </c>
    </row>
    <row r="31">
      <c r="A31" s="77" t="s">
        <v>8</v>
      </c>
      <c r="B31" s="74" t="s">
        <v>1156</v>
      </c>
      <c r="C31" s="78">
        <v>76.0</v>
      </c>
      <c r="D31" s="80" t="b">
        <v>1</v>
      </c>
      <c r="E31" s="40">
        <v>1.624112796E9</v>
      </c>
      <c r="F31" s="66">
        <f>IFERROR(__xludf.DUMMYFUNCTION("INDEX(SPLIT(E31, char(10)), 0, 1)/86400+date(1970,1,1)"),44366.601805555554)</f>
        <v>44366.60181</v>
      </c>
      <c r="G31" s="86" t="s">
        <v>1157</v>
      </c>
      <c r="H31" s="86" t="s">
        <v>1158</v>
      </c>
      <c r="I31" s="40" t="s">
        <v>16</v>
      </c>
    </row>
    <row r="32">
      <c r="A32" s="77" t="s">
        <v>8</v>
      </c>
      <c r="B32" s="74" t="s">
        <v>1159</v>
      </c>
      <c r="C32" s="78">
        <v>84.0</v>
      </c>
      <c r="D32" s="80" t="b">
        <v>0</v>
      </c>
      <c r="E32" s="40">
        <v>1.624112886E9</v>
      </c>
      <c r="F32" s="66">
        <f>IFERROR(__xludf.DUMMYFUNCTION("INDEX(SPLIT(E32, char(10)), 0, 1)/86400+date(1970,1,1)"),44366.602847222224)</f>
        <v>44366.60285</v>
      </c>
      <c r="G32" s="86" t="s">
        <v>1160</v>
      </c>
      <c r="H32" s="86" t="s">
        <v>1161</v>
      </c>
      <c r="I32" s="40" t="s">
        <v>17</v>
      </c>
    </row>
    <row r="33">
      <c r="A33" s="77" t="s">
        <v>8</v>
      </c>
      <c r="B33" s="74" t="s">
        <v>1162</v>
      </c>
      <c r="C33" s="78">
        <v>87.0</v>
      </c>
      <c r="D33" s="80" t="b">
        <v>1</v>
      </c>
      <c r="E33" s="40">
        <v>1.624113028E9</v>
      </c>
      <c r="F33" s="66">
        <f>IFERROR(__xludf.DUMMYFUNCTION("INDEX(SPLIT(E33, char(10)), 0, 1)/86400+date(1970,1,1)"),44366.60449074074)</f>
        <v>44366.60449</v>
      </c>
      <c r="G33" s="86" t="s">
        <v>1163</v>
      </c>
      <c r="H33" s="86" t="s">
        <v>1164</v>
      </c>
      <c r="I33" s="40" t="s">
        <v>14</v>
      </c>
    </row>
    <row r="34">
      <c r="A34" s="77" t="s">
        <v>7</v>
      </c>
      <c r="B34" s="74" t="s">
        <v>181</v>
      </c>
      <c r="C34" s="78">
        <v>90.0</v>
      </c>
      <c r="D34" s="80" t="b">
        <v>1</v>
      </c>
      <c r="E34" s="40">
        <v>1.624113146E9</v>
      </c>
      <c r="F34" s="66">
        <f>IFERROR(__xludf.DUMMYFUNCTION("INDEX(SPLIT(E34, char(10)), 0, 1)/86400+date(1970,1,1)"),44366.60585648148)</f>
        <v>44366.60586</v>
      </c>
      <c r="G34" s="86" t="s">
        <v>1165</v>
      </c>
      <c r="H34" s="86" t="s">
        <v>1166</v>
      </c>
      <c r="I34" s="40" t="s">
        <v>14</v>
      </c>
    </row>
    <row r="35">
      <c r="A35" s="77"/>
      <c r="B35" s="74"/>
      <c r="C35" s="78"/>
      <c r="D35" s="80"/>
      <c r="E35" s="40">
        <v>1.624113346E9</v>
      </c>
      <c r="F35" s="66">
        <f>IFERROR(__xludf.DUMMYFUNCTION("INDEX(SPLIT(E35, char(10)), 0, 1)/86400+date(1970,1,1)"),44366.60817129629)</f>
        <v>44366.60817</v>
      </c>
      <c r="G35" s="86" t="s">
        <v>1167</v>
      </c>
      <c r="H35" s="86" t="s">
        <v>1168</v>
      </c>
      <c r="I35" s="40" t="s">
        <v>16</v>
      </c>
    </row>
    <row r="36">
      <c r="A36" s="77"/>
      <c r="B36" s="74"/>
      <c r="C36" s="78"/>
      <c r="D36" s="80"/>
      <c r="E36" s="40">
        <v>1.624113474E9</v>
      </c>
      <c r="F36" s="66">
        <f>IFERROR(__xludf.DUMMYFUNCTION("INDEX(SPLIT(E36, char(10)), 0, 1)/86400+date(1970,1,1)"),44366.60965277778)</f>
        <v>44366.60965</v>
      </c>
      <c r="G36" s="86" t="s">
        <v>1169</v>
      </c>
      <c r="H36" s="86" t="s">
        <v>1170</v>
      </c>
      <c r="I36" s="40" t="s">
        <v>14</v>
      </c>
    </row>
    <row r="37">
      <c r="A37" s="77"/>
      <c r="B37" s="74"/>
      <c r="C37" s="78"/>
      <c r="D37" s="80"/>
      <c r="E37" s="40">
        <v>1.624113604E9</v>
      </c>
      <c r="F37" s="66">
        <f>IFERROR(__xludf.DUMMYFUNCTION("INDEX(SPLIT(E37, char(10)), 0, 1)/86400+date(1970,1,1)"),44366.6111574074)</f>
        <v>44366.61116</v>
      </c>
      <c r="G37" s="86" t="s">
        <v>1171</v>
      </c>
      <c r="H37" s="86" t="s">
        <v>1172</v>
      </c>
      <c r="I37" s="40" t="s">
        <v>17</v>
      </c>
    </row>
    <row r="38">
      <c r="A38" s="77"/>
      <c r="B38" s="74"/>
      <c r="C38" s="78"/>
      <c r="D38" s="80"/>
      <c r="E38" s="40">
        <v>1.624113717E9</v>
      </c>
      <c r="F38" s="66">
        <f>IFERROR(__xludf.DUMMYFUNCTION("INDEX(SPLIT(E38, char(10)), 0, 1)/86400+date(1970,1,1)"),44366.61246527778)</f>
        <v>44366.61247</v>
      </c>
      <c r="G38" s="86" t="s">
        <v>1173</v>
      </c>
      <c r="H38" s="86" t="s">
        <v>1174</v>
      </c>
      <c r="I38" s="40" t="s">
        <v>17</v>
      </c>
    </row>
    <row r="39">
      <c r="A39" s="68"/>
      <c r="B39" s="74"/>
      <c r="C39" s="78"/>
      <c r="D39" s="80"/>
      <c r="E39" s="40">
        <v>1.624113809E9</v>
      </c>
      <c r="F39" s="66">
        <f>IFERROR(__xludf.DUMMYFUNCTION("INDEX(SPLIT(E39, char(10)), 0, 1)/86400+date(1970,1,1)"),44366.613530092596)</f>
        <v>44366.61353</v>
      </c>
      <c r="G39" s="86" t="s">
        <v>1175</v>
      </c>
      <c r="H39" s="86" t="s">
        <v>1176</v>
      </c>
      <c r="I39" s="40" t="s">
        <v>75</v>
      </c>
    </row>
    <row r="40">
      <c r="A40" s="68"/>
      <c r="B40" s="74"/>
      <c r="C40" s="78"/>
      <c r="D40" s="80"/>
      <c r="E40" s="40">
        <v>1.624113925E9</v>
      </c>
      <c r="F40" s="66">
        <f>IFERROR(__xludf.DUMMYFUNCTION("INDEX(SPLIT(E40, char(10)), 0, 1)/86400+date(1970,1,1)"),44366.61487268518)</f>
        <v>44366.61487</v>
      </c>
      <c r="G40" s="86" t="s">
        <v>1177</v>
      </c>
      <c r="H40" s="86" t="s">
        <v>1178</v>
      </c>
      <c r="I40" s="40" t="s">
        <v>17</v>
      </c>
    </row>
    <row r="41">
      <c r="A41" s="77"/>
      <c r="B41" s="74"/>
      <c r="C41" s="78"/>
      <c r="D41" s="80"/>
      <c r="E41" s="40">
        <v>1.624114035E9</v>
      </c>
      <c r="F41" s="66">
        <f>IFERROR(__xludf.DUMMYFUNCTION("INDEX(SPLIT(E41, char(10)), 0, 1)/86400+date(1970,1,1)"),44366.61614583334)</f>
        <v>44366.61615</v>
      </c>
      <c r="G41" s="86" t="s">
        <v>1179</v>
      </c>
      <c r="H41" s="86" t="s">
        <v>1180</v>
      </c>
      <c r="I41" s="40" t="s">
        <v>16</v>
      </c>
    </row>
    <row r="42">
      <c r="A42" s="77"/>
      <c r="B42" s="74"/>
      <c r="C42" s="78"/>
      <c r="D42" s="80"/>
      <c r="E42" s="40">
        <v>1.62411428E9</v>
      </c>
      <c r="F42" s="66">
        <f>IFERROR(__xludf.DUMMYFUNCTION("INDEX(SPLIT(E42, char(10)), 0, 1)/86400+date(1970,1,1)"),44366.618981481486)</f>
        <v>44366.61898</v>
      </c>
      <c r="G42" s="86" t="s">
        <v>1181</v>
      </c>
      <c r="H42" s="86" t="s">
        <v>1182</v>
      </c>
      <c r="I42" s="40" t="s">
        <v>15</v>
      </c>
    </row>
    <row r="43">
      <c r="A43" s="71"/>
      <c r="B43" s="71"/>
      <c r="C43" s="71"/>
      <c r="D43" s="71"/>
      <c r="E43" s="40">
        <v>1.624114423E9</v>
      </c>
      <c r="F43" s="66">
        <f>IFERROR(__xludf.DUMMYFUNCTION("INDEX(SPLIT(E43, char(10)), 0, 1)/86400+date(1970,1,1)"),44366.62063657407)</f>
        <v>44366.62064</v>
      </c>
      <c r="G43" s="86" t="s">
        <v>1183</v>
      </c>
      <c r="H43" s="86" t="s">
        <v>1184</v>
      </c>
      <c r="I43" s="40" t="s">
        <v>17</v>
      </c>
    </row>
    <row r="44">
      <c r="A44" s="71"/>
      <c r="B44" s="71"/>
      <c r="C44" s="71"/>
      <c r="D44" s="71"/>
      <c r="E44" s="40">
        <v>1.624114539E9</v>
      </c>
      <c r="F44" s="66">
        <f>IFERROR(__xludf.DUMMYFUNCTION("INDEX(SPLIT(E44, char(10)), 0, 1)/86400+date(1970,1,1)"),44366.621979166666)</f>
        <v>44366.62198</v>
      </c>
      <c r="G44" s="86" t="s">
        <v>1185</v>
      </c>
      <c r="H44" s="86" t="s">
        <v>1186</v>
      </c>
      <c r="I44" s="40" t="s">
        <v>16</v>
      </c>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0.04166666667</v>
      </c>
      <c r="E2" s="89">
        <v>1.624108217E9</v>
      </c>
      <c r="F2" s="66">
        <f>IFERROR(__xludf.DUMMYFUNCTION("INDEX(SPLIT(E2, char(10)), 0, 1)/86400+date(1970,1,1)"),44366.54880787037)</f>
        <v>44366.54881</v>
      </c>
      <c r="G2" s="92" t="s">
        <v>838</v>
      </c>
      <c r="H2" s="92" t="s">
        <v>1096</v>
      </c>
      <c r="I2" s="40" t="s">
        <v>16</v>
      </c>
      <c r="J2" s="40"/>
    </row>
    <row r="3">
      <c r="A3" s="40" t="s">
        <v>14</v>
      </c>
      <c r="B3" s="40" t="s">
        <v>99</v>
      </c>
      <c r="C3" s="40">
        <f t="shared" si="1"/>
        <v>3</v>
      </c>
      <c r="D3" s="64">
        <f t="shared" si="2"/>
        <v>0.125</v>
      </c>
      <c r="E3" s="89">
        <v>1.624108424E9</v>
      </c>
      <c r="F3" s="66">
        <f>IFERROR(__xludf.DUMMYFUNCTION("INDEX(SPLIT(E3, char(10)), 0, 1)/86400+date(1970,1,1)"),44366.551203703704)</f>
        <v>44366.5512</v>
      </c>
      <c r="G3" s="92" t="s">
        <v>1187</v>
      </c>
      <c r="H3" s="92" t="s">
        <v>1188</v>
      </c>
      <c r="I3" s="40" t="s">
        <v>17</v>
      </c>
      <c r="J3" s="40"/>
    </row>
    <row r="4">
      <c r="A4" s="40" t="s">
        <v>15</v>
      </c>
      <c r="B4" s="40" t="s">
        <v>102</v>
      </c>
      <c r="C4" s="40">
        <f t="shared" si="1"/>
        <v>3</v>
      </c>
      <c r="D4" s="64">
        <f t="shared" si="2"/>
        <v>0.125</v>
      </c>
      <c r="E4" s="89">
        <v>1.624108646E9</v>
      </c>
      <c r="F4" s="66">
        <f>IFERROR(__xludf.DUMMYFUNCTION("INDEX(SPLIT(E4, char(10)), 0, 1)/86400+date(1970,1,1)"),44366.553773148145)</f>
        <v>44366.55377</v>
      </c>
      <c r="G4" s="92" t="s">
        <v>1189</v>
      </c>
      <c r="H4" s="92" t="s">
        <v>1190</v>
      </c>
      <c r="I4" s="40" t="s">
        <v>17</v>
      </c>
      <c r="J4" s="40"/>
    </row>
    <row r="5">
      <c r="A5" s="40" t="s">
        <v>16</v>
      </c>
      <c r="B5" s="40" t="s">
        <v>105</v>
      </c>
      <c r="C5" s="40">
        <f t="shared" si="1"/>
        <v>6</v>
      </c>
      <c r="D5" s="64">
        <f t="shared" si="2"/>
        <v>0.25</v>
      </c>
      <c r="E5" s="89">
        <v>1.624109211E9</v>
      </c>
      <c r="F5" s="66">
        <f>IFERROR(__xludf.DUMMYFUNCTION("INDEX(SPLIT(E5, char(10)), 0, 1)/86400+date(1970,1,1)"),44366.560312500005)</f>
        <v>44366.56031</v>
      </c>
      <c r="G5" s="92" t="s">
        <v>1191</v>
      </c>
      <c r="H5" s="92" t="s">
        <v>1192</v>
      </c>
      <c r="I5" s="40" t="s">
        <v>17</v>
      </c>
      <c r="J5" s="40"/>
    </row>
    <row r="6">
      <c r="A6" s="40" t="s">
        <v>17</v>
      </c>
      <c r="B6" s="40" t="s">
        <v>108</v>
      </c>
      <c r="C6" s="40">
        <f t="shared" si="1"/>
        <v>11</v>
      </c>
      <c r="D6" s="64">
        <f t="shared" si="2"/>
        <v>0.4583333333</v>
      </c>
      <c r="E6" s="89">
        <v>1.624109485E9</v>
      </c>
      <c r="F6" s="66">
        <f>IFERROR(__xludf.DUMMYFUNCTION("INDEX(SPLIT(E6, char(10)), 0, 1)/86400+date(1970,1,1)"),44366.5634837963)</f>
        <v>44366.56348</v>
      </c>
      <c r="G6" s="92" t="s">
        <v>1193</v>
      </c>
      <c r="H6" s="92" t="s">
        <v>1194</v>
      </c>
      <c r="I6" s="40" t="s">
        <v>17</v>
      </c>
    </row>
    <row r="7">
      <c r="B7" s="40" t="s">
        <v>13</v>
      </c>
      <c r="C7" s="69">
        <f t="shared" ref="C7:D7" si="3">SUM(C2:C6)</f>
        <v>24</v>
      </c>
      <c r="D7" s="70">
        <f t="shared" si="3"/>
        <v>1</v>
      </c>
      <c r="E7" s="89">
        <v>1.62410962E9</v>
      </c>
      <c r="F7" s="66">
        <f>IFERROR(__xludf.DUMMYFUNCTION("INDEX(SPLIT(E7, char(10)), 0, 1)/86400+date(1970,1,1)"),44366.565046296295)</f>
        <v>44366.56505</v>
      </c>
      <c r="G7" s="92" t="s">
        <v>1195</v>
      </c>
      <c r="H7" s="92" t="s">
        <v>1196</v>
      </c>
      <c r="I7" s="40" t="s">
        <v>15</v>
      </c>
    </row>
    <row r="8">
      <c r="A8" s="71"/>
      <c r="B8" s="40" t="s">
        <v>18</v>
      </c>
      <c r="C8" s="57">
        <f t="shared" ref="C8:D8" si="4">SUM(C5:C6)</f>
        <v>17</v>
      </c>
      <c r="D8" s="14">
        <f t="shared" si="4"/>
        <v>0.7083333333</v>
      </c>
      <c r="E8" s="89">
        <v>1.62411043E9</v>
      </c>
      <c r="F8" s="66">
        <f>IFERROR(__xludf.DUMMYFUNCTION("INDEX(SPLIT(E8, char(10)), 0, 1)/86400+date(1970,1,1)"),44366.574421296296)</f>
        <v>44366.57442</v>
      </c>
      <c r="G8" s="92" t="s">
        <v>1197</v>
      </c>
      <c r="H8" s="92" t="s">
        <v>1198</v>
      </c>
      <c r="I8" s="40" t="s">
        <v>16</v>
      </c>
    </row>
    <row r="9">
      <c r="A9" s="71"/>
      <c r="B9" s="40" t="s">
        <v>47</v>
      </c>
      <c r="C9" s="57">
        <f>SUM(C6:C7)</f>
        <v>35</v>
      </c>
      <c r="D9" s="14">
        <f>SUM(D5:D6) + D2</f>
        <v>0.75</v>
      </c>
      <c r="E9" s="89">
        <v>1.624110553E9</v>
      </c>
      <c r="F9" s="66">
        <f>IFERROR(__xludf.DUMMYFUNCTION("INDEX(SPLIT(E9, char(10)), 0, 1)/86400+date(1970,1,1)"),44366.575844907406)</f>
        <v>44366.57584</v>
      </c>
      <c r="G9" s="92" t="s">
        <v>1199</v>
      </c>
      <c r="H9" s="92" t="s">
        <v>1200</v>
      </c>
      <c r="I9" s="40" t="s">
        <v>17</v>
      </c>
    </row>
    <row r="10">
      <c r="A10" s="71"/>
      <c r="B10" s="71"/>
      <c r="C10" s="71"/>
      <c r="D10" s="71"/>
      <c r="E10" s="89">
        <v>1.62411095E9</v>
      </c>
      <c r="F10" s="66">
        <f>IFERROR(__xludf.DUMMYFUNCTION("INDEX(SPLIT(E10, char(10)), 0, 1)/86400+date(1970,1,1)"),44366.58043981482)</f>
        <v>44366.58044</v>
      </c>
      <c r="G10" s="92" t="s">
        <v>1201</v>
      </c>
      <c r="H10" s="92" t="s">
        <v>1202</v>
      </c>
      <c r="I10" s="40" t="s">
        <v>14</v>
      </c>
    </row>
    <row r="11">
      <c r="A11" s="71"/>
      <c r="B11" s="71"/>
      <c r="C11" s="71"/>
      <c r="D11" s="71"/>
      <c r="E11" s="89">
        <v>1.624111598E9</v>
      </c>
      <c r="F11" s="66">
        <f>IFERROR(__xludf.DUMMYFUNCTION("INDEX(SPLIT(E11, char(10)), 0, 1)/86400+date(1970,1,1)"),44366.58793981481)</f>
        <v>44366.58794</v>
      </c>
      <c r="G11" s="92" t="s">
        <v>1137</v>
      </c>
      <c r="H11" s="92" t="s">
        <v>1203</v>
      </c>
      <c r="I11" s="40" t="s">
        <v>14</v>
      </c>
    </row>
    <row r="12">
      <c r="A12" s="72" t="s">
        <v>121</v>
      </c>
      <c r="B12" s="90" t="s">
        <v>1204</v>
      </c>
      <c r="C12" s="88"/>
      <c r="D12" s="74"/>
      <c r="E12" s="89">
        <v>1.624111823E9</v>
      </c>
      <c r="F12" s="66">
        <f>IFERROR(__xludf.DUMMYFUNCTION("INDEX(SPLIT(E12, char(10)), 0, 1)/86400+date(1970,1,1)"),44366.59054398148)</f>
        <v>44366.59054</v>
      </c>
      <c r="G12" s="92" t="s">
        <v>907</v>
      </c>
      <c r="H12" s="92" t="s">
        <v>1205</v>
      </c>
      <c r="I12" s="40" t="s">
        <v>15</v>
      </c>
    </row>
    <row r="13">
      <c r="A13" s="72" t="s">
        <v>125</v>
      </c>
      <c r="B13" s="74"/>
      <c r="C13" s="72" t="s">
        <v>89</v>
      </c>
      <c r="D13" s="72" t="s">
        <v>90</v>
      </c>
      <c r="E13" s="89">
        <v>1.624112184E9</v>
      </c>
      <c r="F13" s="66">
        <f>IFERROR(__xludf.DUMMYFUNCTION("INDEX(SPLIT(E13, char(10)), 0, 1)/86400+date(1970,1,1)"),44366.594722222224)</f>
        <v>44366.59472</v>
      </c>
      <c r="G13" s="92" t="s">
        <v>1206</v>
      </c>
      <c r="H13" s="92" t="s">
        <v>1207</v>
      </c>
      <c r="I13" s="40" t="s">
        <v>15</v>
      </c>
    </row>
    <row r="14">
      <c r="A14" s="5" t="s">
        <v>128</v>
      </c>
      <c r="B14" s="5" t="s">
        <v>129</v>
      </c>
      <c r="C14" s="75">
        <f t="shared" ref="C14:C17" si="5">COUNTIF($A$19:$A1000, A14)</f>
        <v>2</v>
      </c>
      <c r="D14" s="76">
        <f>IFERROR(__xludf.DUMMYFUNCTION("IF(C14, COUNTIF(FILTER($D$19:$D1000, $A$19:$A1000=A14), TRUE)/C14, 0)"),1.0)</f>
        <v>1</v>
      </c>
      <c r="E14" s="89">
        <v>1.624112288E9</v>
      </c>
      <c r="F14" s="66">
        <f>IFERROR(__xludf.DUMMYFUNCTION("INDEX(SPLIT(E14, char(10)), 0, 1)/86400+date(1970,1,1)"),44366.595925925925)</f>
        <v>44366.59593</v>
      </c>
      <c r="G14" s="92" t="s">
        <v>1208</v>
      </c>
      <c r="H14" s="92" t="s">
        <v>1209</v>
      </c>
      <c r="I14" s="40" t="s">
        <v>16</v>
      </c>
    </row>
    <row r="15">
      <c r="A15" s="5" t="s">
        <v>6</v>
      </c>
      <c r="B15" s="5" t="s">
        <v>132</v>
      </c>
      <c r="C15" s="75">
        <f t="shared" si="5"/>
        <v>2</v>
      </c>
      <c r="D15" s="76">
        <f>IFERROR(__xludf.DUMMYFUNCTION("IF(C15, COUNTIF(FILTER($D$19:$D1000, $A$19:$A1000=A15), TRUE)/C15, 0)"),0.5)</f>
        <v>0.5</v>
      </c>
      <c r="E15" s="89">
        <v>1.62411242E9</v>
      </c>
      <c r="F15" s="66">
        <f>IFERROR(__xludf.DUMMYFUNCTION("INDEX(SPLIT(E15, char(10)), 0, 1)/86400+date(1970,1,1)"),44366.597453703704)</f>
        <v>44366.59745</v>
      </c>
      <c r="G15" s="92" t="s">
        <v>1210</v>
      </c>
      <c r="H15" s="92" t="s">
        <v>1211</v>
      </c>
      <c r="I15" s="40" t="s">
        <v>17</v>
      </c>
    </row>
    <row r="16">
      <c r="A16" s="5" t="s">
        <v>7</v>
      </c>
      <c r="B16" s="5" t="s">
        <v>135</v>
      </c>
      <c r="C16" s="75">
        <f t="shared" si="5"/>
        <v>4</v>
      </c>
      <c r="D16" s="76">
        <f>IFERROR(__xludf.DUMMYFUNCTION("IF(C16, COUNTIF(FILTER($D$19:$D1000, $A$19:$A1000=A16), TRUE)/C16, 0)"),0.0)</f>
        <v>0</v>
      </c>
      <c r="E16" s="89">
        <v>1.624112735E9</v>
      </c>
      <c r="F16" s="66">
        <f>IFERROR(__xludf.DUMMYFUNCTION("INDEX(SPLIT(E16, char(10)), 0, 1)/86400+date(1970,1,1)"),44366.60109953704)</f>
        <v>44366.6011</v>
      </c>
      <c r="G16" s="92" t="s">
        <v>1212</v>
      </c>
      <c r="H16" s="92" t="s">
        <v>1213</v>
      </c>
      <c r="I16" s="40" t="s">
        <v>16</v>
      </c>
    </row>
    <row r="17">
      <c r="A17" s="5" t="s">
        <v>8</v>
      </c>
      <c r="B17" s="5" t="s">
        <v>79</v>
      </c>
      <c r="C17" s="75">
        <f t="shared" si="5"/>
        <v>7</v>
      </c>
      <c r="D17" s="76">
        <f>IFERROR(__xludf.DUMMYFUNCTION("IF(C17, COUNTIF(FILTER($D$19:$D1000, $A$19:$A1000=A17), TRUE)/C17, 0)"),0.5714285714285714)</f>
        <v>0.5714285714</v>
      </c>
      <c r="E17" s="89">
        <v>1.624112825E9</v>
      </c>
      <c r="F17" s="66">
        <f>IFERROR(__xludf.DUMMYFUNCTION("INDEX(SPLIT(E17, char(10)), 0, 1)/86400+date(1970,1,1)"),44366.60214120371)</f>
        <v>44366.60214</v>
      </c>
      <c r="G17" s="92" t="s">
        <v>1214</v>
      </c>
      <c r="H17" s="92" t="s">
        <v>1215</v>
      </c>
      <c r="I17" s="40" t="s">
        <v>75</v>
      </c>
    </row>
    <row r="18">
      <c r="A18" s="74"/>
      <c r="B18" s="72" t="s">
        <v>9</v>
      </c>
      <c r="C18" s="75">
        <f>SUM(C14:C17)</f>
        <v>15</v>
      </c>
      <c r="D18" s="76">
        <f>COUNTIF($D$19:$D1000, TRUE)/SUM($C$14:$C$17)</f>
        <v>0.4666666667</v>
      </c>
      <c r="E18" s="89">
        <v>1.624113056E9</v>
      </c>
      <c r="F18" s="66">
        <f>IFERROR(__xludf.DUMMYFUNCTION("INDEX(SPLIT(E18, char(10)), 0, 1)/86400+date(1970,1,1)"),44366.60481481481)</f>
        <v>44366.60481</v>
      </c>
      <c r="G18" s="92" t="s">
        <v>1216</v>
      </c>
      <c r="H18" s="92" t="s">
        <v>1217</v>
      </c>
      <c r="I18" s="40" t="s">
        <v>14</v>
      </c>
    </row>
    <row r="19">
      <c r="A19" s="72" t="s">
        <v>95</v>
      </c>
      <c r="B19" s="72" t="s">
        <v>142</v>
      </c>
      <c r="C19" s="72" t="s">
        <v>143</v>
      </c>
      <c r="D19" s="72" t="s">
        <v>144</v>
      </c>
      <c r="E19" s="89">
        <v>1.624113357E9</v>
      </c>
      <c r="F19" s="66">
        <f>IFERROR(__xludf.DUMMYFUNCTION("INDEX(SPLIT(E19, char(10)), 0, 1)/86400+date(1970,1,1)"),44366.608298611114)</f>
        <v>44366.6083</v>
      </c>
      <c r="G19" s="92" t="s">
        <v>1218</v>
      </c>
      <c r="H19" s="92" t="s">
        <v>1219</v>
      </c>
      <c r="I19" s="40" t="s">
        <v>16</v>
      </c>
    </row>
    <row r="20">
      <c r="A20" s="77" t="s">
        <v>7</v>
      </c>
      <c r="B20" s="77" t="s">
        <v>147</v>
      </c>
      <c r="C20" s="78">
        <v>1.0</v>
      </c>
      <c r="D20" s="80" t="b">
        <v>0</v>
      </c>
      <c r="E20" s="89">
        <v>1.624113474E9</v>
      </c>
      <c r="F20" s="66">
        <f>IFERROR(__xludf.DUMMYFUNCTION("INDEX(SPLIT(E20, char(10)), 0, 1)/86400+date(1970,1,1)"),44366.60965277778)</f>
        <v>44366.60965</v>
      </c>
      <c r="G20" s="92" t="s">
        <v>1220</v>
      </c>
      <c r="H20" s="92" t="s">
        <v>1221</v>
      </c>
      <c r="I20" s="40" t="s">
        <v>17</v>
      </c>
    </row>
    <row r="21">
      <c r="A21" s="77" t="s">
        <v>6</v>
      </c>
      <c r="B21" s="77" t="s">
        <v>1128</v>
      </c>
      <c r="C21" s="78">
        <v>10.0</v>
      </c>
      <c r="D21" s="80" t="b">
        <v>1</v>
      </c>
      <c r="E21" s="89">
        <v>1.624113803E9</v>
      </c>
      <c r="F21" s="66">
        <f>IFERROR(__xludf.DUMMYFUNCTION("INDEX(SPLIT(E21, char(10)), 0, 1)/86400+date(1970,1,1)"),44366.61346064815)</f>
        <v>44366.61346</v>
      </c>
      <c r="G21" s="92" t="s">
        <v>1222</v>
      </c>
      <c r="H21" s="92" t="s">
        <v>1223</v>
      </c>
      <c r="I21" s="40" t="s">
        <v>17</v>
      </c>
    </row>
    <row r="22">
      <c r="A22" s="77" t="s">
        <v>8</v>
      </c>
      <c r="B22" s="77" t="s">
        <v>1131</v>
      </c>
      <c r="C22" s="78">
        <v>26.0</v>
      </c>
      <c r="D22" s="80" t="b">
        <v>0</v>
      </c>
      <c r="E22" s="89">
        <v>1.624113953E9</v>
      </c>
      <c r="F22" s="66">
        <f>IFERROR(__xludf.DUMMYFUNCTION("INDEX(SPLIT(E22, char(10)), 0, 1)/86400+date(1970,1,1)"),44366.61519675926)</f>
        <v>44366.6152</v>
      </c>
      <c r="G22" s="92" t="s">
        <v>1224</v>
      </c>
      <c r="H22" s="92" t="s">
        <v>1225</v>
      </c>
      <c r="I22" s="40" t="s">
        <v>17</v>
      </c>
    </row>
    <row r="23">
      <c r="A23" s="77" t="s">
        <v>128</v>
      </c>
      <c r="B23" s="77" t="s">
        <v>1134</v>
      </c>
      <c r="C23" s="78">
        <v>45.0</v>
      </c>
      <c r="D23" s="80" t="b">
        <v>1</v>
      </c>
      <c r="E23" s="89">
        <v>1.624114082E9</v>
      </c>
      <c r="F23" s="66">
        <f>IFERROR(__xludf.DUMMYFUNCTION("INDEX(SPLIT(E23, char(10)), 0, 1)/86400+date(1970,1,1)"),44366.616689814815)</f>
        <v>44366.61669</v>
      </c>
      <c r="G23" s="92" t="s">
        <v>1226</v>
      </c>
      <c r="H23" s="92" t="s">
        <v>1227</v>
      </c>
      <c r="I23" s="40" t="s">
        <v>16</v>
      </c>
    </row>
    <row r="24">
      <c r="A24" s="5" t="s">
        <v>7</v>
      </c>
      <c r="B24" s="5" t="s">
        <v>153</v>
      </c>
      <c r="C24" s="78">
        <v>45.0</v>
      </c>
      <c r="D24" s="80" t="b">
        <v>0</v>
      </c>
      <c r="E24" s="89">
        <v>1.624114464E9</v>
      </c>
      <c r="F24" s="66">
        <f>IFERROR(__xludf.DUMMYFUNCTION("INDEX(SPLIT(E24, char(10)), 0, 1)/86400+date(1970,1,1)"),44366.62111111111)</f>
        <v>44366.62111</v>
      </c>
      <c r="G24" s="92" t="s">
        <v>1228</v>
      </c>
      <c r="H24" s="92" t="s">
        <v>1229</v>
      </c>
      <c r="I24" s="40" t="s">
        <v>17</v>
      </c>
    </row>
    <row r="25">
      <c r="A25" s="77" t="s">
        <v>7</v>
      </c>
      <c r="B25" s="74" t="s">
        <v>156</v>
      </c>
      <c r="C25" s="78">
        <v>46.0</v>
      </c>
      <c r="D25" s="80" t="b">
        <v>0</v>
      </c>
      <c r="E25" s="89">
        <v>1.624114585E9</v>
      </c>
      <c r="F25" s="66">
        <f>IFERROR(__xludf.DUMMYFUNCTION("INDEX(SPLIT(E25, char(10)), 0, 1)/86400+date(1970,1,1)"),44366.622511574074)</f>
        <v>44366.62251</v>
      </c>
      <c r="G25" s="92" t="s">
        <v>1230</v>
      </c>
      <c r="H25" s="92" t="s">
        <v>1231</v>
      </c>
      <c r="I25" s="40" t="s">
        <v>17</v>
      </c>
    </row>
    <row r="26">
      <c r="A26" s="77" t="s">
        <v>6</v>
      </c>
      <c r="B26" s="74" t="s">
        <v>1141</v>
      </c>
      <c r="C26" s="78">
        <v>52.0</v>
      </c>
      <c r="D26" s="80" t="b">
        <v>0</v>
      </c>
      <c r="F26" s="66"/>
      <c r="G26" s="86"/>
      <c r="H26" s="86"/>
      <c r="I26" s="41"/>
    </row>
    <row r="27">
      <c r="A27" s="77" t="s">
        <v>8</v>
      </c>
      <c r="B27" s="74" t="s">
        <v>1144</v>
      </c>
      <c r="C27" s="78">
        <v>57.0</v>
      </c>
      <c r="D27" s="80" t="b">
        <v>1</v>
      </c>
      <c r="F27" s="66"/>
      <c r="G27" s="86"/>
      <c r="H27" s="86"/>
      <c r="I27" s="41"/>
    </row>
    <row r="28">
      <c r="A28" s="77" t="s">
        <v>128</v>
      </c>
      <c r="B28" s="74" t="s">
        <v>1147</v>
      </c>
      <c r="C28" s="78">
        <v>66.0</v>
      </c>
      <c r="D28" s="80" t="b">
        <v>1</v>
      </c>
      <c r="F28" s="66"/>
      <c r="G28" s="86"/>
      <c r="H28" s="86"/>
      <c r="I28" s="41"/>
    </row>
    <row r="29">
      <c r="A29" s="77" t="s">
        <v>8</v>
      </c>
      <c r="B29" s="74" t="s">
        <v>1150</v>
      </c>
      <c r="C29" s="78">
        <v>75.0</v>
      </c>
      <c r="D29" s="80" t="b">
        <v>0</v>
      </c>
      <c r="F29" s="66"/>
      <c r="G29" s="86"/>
      <c r="H29" s="86"/>
      <c r="I29" s="41"/>
    </row>
    <row r="30">
      <c r="A30" s="77" t="s">
        <v>8</v>
      </c>
      <c r="B30" s="74" t="s">
        <v>1153</v>
      </c>
      <c r="C30" s="78">
        <v>76.0</v>
      </c>
      <c r="D30" s="80" t="b">
        <v>1</v>
      </c>
      <c r="F30" s="66"/>
      <c r="G30" s="86"/>
      <c r="H30" s="86"/>
      <c r="I30" s="41"/>
    </row>
    <row r="31">
      <c r="A31" s="77" t="s">
        <v>8</v>
      </c>
      <c r="B31" s="74" t="s">
        <v>1156</v>
      </c>
      <c r="C31" s="78">
        <v>76.0</v>
      </c>
      <c r="D31" s="80" t="b">
        <v>1</v>
      </c>
      <c r="F31" s="66"/>
      <c r="G31" s="86"/>
      <c r="H31" s="86"/>
      <c r="I31" s="41"/>
    </row>
    <row r="32">
      <c r="A32" s="77" t="s">
        <v>8</v>
      </c>
      <c r="B32" s="74" t="s">
        <v>1159</v>
      </c>
      <c r="C32" s="78">
        <v>84.0</v>
      </c>
      <c r="D32" s="80" t="b">
        <v>0</v>
      </c>
      <c r="F32" s="66"/>
      <c r="G32" s="86"/>
      <c r="H32" s="86"/>
      <c r="I32" s="41"/>
    </row>
    <row r="33">
      <c r="A33" s="77" t="s">
        <v>8</v>
      </c>
      <c r="B33" s="74" t="s">
        <v>1162</v>
      </c>
      <c r="C33" s="78">
        <v>87.0</v>
      </c>
      <c r="D33" s="80" t="b">
        <v>1</v>
      </c>
      <c r="F33" s="66"/>
      <c r="G33" s="86"/>
      <c r="H33" s="86"/>
      <c r="I33" s="41"/>
    </row>
    <row r="34">
      <c r="A34" s="77" t="s">
        <v>7</v>
      </c>
      <c r="B34" s="74" t="s">
        <v>181</v>
      </c>
      <c r="C34" s="78">
        <v>90.0</v>
      </c>
      <c r="D34" s="80" t="b">
        <v>0</v>
      </c>
      <c r="F34" s="66"/>
      <c r="G34" s="86"/>
      <c r="H34" s="86"/>
      <c r="I34" s="41"/>
    </row>
    <row r="35">
      <c r="A35" s="77"/>
      <c r="B35" s="74"/>
      <c r="C35" s="78"/>
      <c r="D35" s="80"/>
      <c r="F35" s="66"/>
      <c r="G35" s="86"/>
      <c r="H35" s="86"/>
      <c r="I35" s="41"/>
    </row>
    <row r="36">
      <c r="A36" s="77"/>
      <c r="B36" s="74"/>
      <c r="C36" s="78"/>
      <c r="D36" s="80"/>
      <c r="F36" s="66"/>
      <c r="G36" s="86"/>
      <c r="H36" s="86"/>
      <c r="I36" s="41"/>
    </row>
    <row r="37">
      <c r="A37" s="77"/>
      <c r="B37" s="74"/>
      <c r="C37" s="78"/>
      <c r="D37" s="80"/>
      <c r="F37" s="66"/>
      <c r="G37" s="86"/>
      <c r="H37" s="86"/>
      <c r="I37" s="41"/>
    </row>
    <row r="38">
      <c r="A38" s="77"/>
      <c r="B38" s="74"/>
      <c r="C38" s="78"/>
      <c r="D38" s="80"/>
      <c r="F38" s="66"/>
      <c r="G38" s="86"/>
      <c r="H38" s="86"/>
      <c r="I38" s="41"/>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A44" s="71"/>
      <c r="B44" s="71"/>
      <c r="C44" s="71"/>
      <c r="D44" s="71"/>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0.05405405405</v>
      </c>
      <c r="E2" s="89">
        <v>1.624107647E9</v>
      </c>
      <c r="F2" s="66">
        <f>IFERROR(__xludf.DUMMYFUNCTION("INDEX(SPLIT(E2, char(10)), 0, 1)/86400+date(1970,1,1)"),44366.54221064815)</f>
        <v>44366.54221</v>
      </c>
      <c r="G2" s="86" t="s">
        <v>1232</v>
      </c>
      <c r="H2" s="86" t="s">
        <v>1233</v>
      </c>
      <c r="I2" s="40" t="s">
        <v>16</v>
      </c>
      <c r="J2" s="40"/>
    </row>
    <row r="3">
      <c r="A3" s="40" t="s">
        <v>14</v>
      </c>
      <c r="B3" s="40" t="s">
        <v>99</v>
      </c>
      <c r="C3" s="40">
        <f t="shared" si="1"/>
        <v>4</v>
      </c>
      <c r="D3" s="64">
        <f t="shared" si="2"/>
        <v>0.1081081081</v>
      </c>
      <c r="E3" s="89">
        <v>1.624108225E9</v>
      </c>
      <c r="F3" s="66">
        <f>IFERROR(__xludf.DUMMYFUNCTION("INDEX(SPLIT(E3, char(10)), 0, 1)/86400+date(1970,1,1)"),44366.54890046296)</f>
        <v>44366.5489</v>
      </c>
      <c r="G3" s="86" t="s">
        <v>1234</v>
      </c>
      <c r="H3" s="86" t="s">
        <v>1235</v>
      </c>
      <c r="I3" s="40" t="s">
        <v>16</v>
      </c>
      <c r="J3" s="40"/>
    </row>
    <row r="4">
      <c r="A4" s="40" t="s">
        <v>15</v>
      </c>
      <c r="B4" s="40" t="s">
        <v>102</v>
      </c>
      <c r="C4" s="40">
        <f t="shared" si="1"/>
        <v>6</v>
      </c>
      <c r="D4" s="64">
        <f t="shared" si="2"/>
        <v>0.1621621622</v>
      </c>
      <c r="E4" s="89">
        <v>1.624108426E9</v>
      </c>
      <c r="F4" s="66">
        <f>IFERROR(__xludf.DUMMYFUNCTION("INDEX(SPLIT(E4, char(10)), 0, 1)/86400+date(1970,1,1)"),44366.55122685185)</f>
        <v>44366.55123</v>
      </c>
      <c r="G4" s="86" t="s">
        <v>1236</v>
      </c>
      <c r="H4" s="86" t="s">
        <v>1237</v>
      </c>
      <c r="I4" s="40" t="s">
        <v>17</v>
      </c>
      <c r="J4" s="40"/>
    </row>
    <row r="5">
      <c r="A5" s="40" t="s">
        <v>16</v>
      </c>
      <c r="B5" s="40" t="s">
        <v>105</v>
      </c>
      <c r="C5" s="40">
        <f t="shared" si="1"/>
        <v>9</v>
      </c>
      <c r="D5" s="64">
        <f t="shared" si="2"/>
        <v>0.2432432432</v>
      </c>
      <c r="E5" s="89">
        <v>1.624108555E9</v>
      </c>
      <c r="F5" s="66">
        <f>IFERROR(__xludf.DUMMYFUNCTION("INDEX(SPLIT(E5, char(10)), 0, 1)/86400+date(1970,1,1)"),44366.552719907406)</f>
        <v>44366.55272</v>
      </c>
      <c r="G5" s="86" t="s">
        <v>1238</v>
      </c>
      <c r="H5" s="86" t="s">
        <v>1239</v>
      </c>
      <c r="I5" s="40" t="s">
        <v>17</v>
      </c>
      <c r="J5" s="40"/>
    </row>
    <row r="6">
      <c r="A6" s="40" t="s">
        <v>17</v>
      </c>
      <c r="B6" s="40" t="s">
        <v>108</v>
      </c>
      <c r="C6" s="40">
        <f t="shared" si="1"/>
        <v>16</v>
      </c>
      <c r="D6" s="64">
        <f t="shared" si="2"/>
        <v>0.4324324324</v>
      </c>
      <c r="E6" s="89">
        <v>1.624108657E9</v>
      </c>
      <c r="F6" s="66">
        <f>IFERROR(__xludf.DUMMYFUNCTION("INDEX(SPLIT(E6, char(10)), 0, 1)/86400+date(1970,1,1)"),44366.55390046297)</f>
        <v>44366.5539</v>
      </c>
      <c r="G6" s="86" t="s">
        <v>1240</v>
      </c>
      <c r="H6" s="86" t="s">
        <v>1241</v>
      </c>
      <c r="I6" s="40" t="s">
        <v>17</v>
      </c>
    </row>
    <row r="7">
      <c r="B7" s="40" t="s">
        <v>13</v>
      </c>
      <c r="C7" s="69">
        <f t="shared" ref="C7:D7" si="3">SUM(C2:C6)</f>
        <v>37</v>
      </c>
      <c r="D7" s="70">
        <f t="shared" si="3"/>
        <v>1</v>
      </c>
      <c r="E7" s="89">
        <v>1.624109207E9</v>
      </c>
      <c r="F7" s="66">
        <f>IFERROR(__xludf.DUMMYFUNCTION("INDEX(SPLIT(E7, char(10)), 0, 1)/86400+date(1970,1,1)"),44366.560266203705)</f>
        <v>44366.56027</v>
      </c>
      <c r="G7" s="86" t="s">
        <v>1242</v>
      </c>
      <c r="H7" s="86" t="s">
        <v>1243</v>
      </c>
      <c r="I7" s="40" t="s">
        <v>17</v>
      </c>
    </row>
    <row r="8">
      <c r="A8" s="71"/>
      <c r="B8" s="40" t="s">
        <v>18</v>
      </c>
      <c r="C8" s="57">
        <f t="shared" ref="C8:D8" si="4">SUM(C5:C6)</f>
        <v>25</v>
      </c>
      <c r="D8" s="14">
        <f t="shared" si="4"/>
        <v>0.6756756757</v>
      </c>
      <c r="E8" s="89">
        <v>1.624109441E9</v>
      </c>
      <c r="F8" s="66">
        <f>IFERROR(__xludf.DUMMYFUNCTION("INDEX(SPLIT(E8, char(10)), 0, 1)/86400+date(1970,1,1)"),44366.56297453704)</f>
        <v>44366.56297</v>
      </c>
      <c r="G8" s="86" t="s">
        <v>1244</v>
      </c>
      <c r="H8" s="86" t="s">
        <v>1245</v>
      </c>
      <c r="I8" s="40" t="s">
        <v>14</v>
      </c>
    </row>
    <row r="9">
      <c r="A9" s="71"/>
      <c r="B9" s="40" t="s">
        <v>47</v>
      </c>
      <c r="C9" s="57">
        <f>SUM(C6:C7)</f>
        <v>53</v>
      </c>
      <c r="D9" s="14">
        <f>SUM(D5:D6) + D2</f>
        <v>0.7297297297</v>
      </c>
      <c r="E9" s="89">
        <v>1.62410954E9</v>
      </c>
      <c r="F9" s="66">
        <f>IFERROR(__xludf.DUMMYFUNCTION("INDEX(SPLIT(E9, char(10)), 0, 1)/86400+date(1970,1,1)"),44366.56412037037)</f>
        <v>44366.56412</v>
      </c>
      <c r="G9" s="86" t="s">
        <v>1246</v>
      </c>
      <c r="H9" s="86" t="s">
        <v>1247</v>
      </c>
      <c r="I9" s="40" t="s">
        <v>17</v>
      </c>
    </row>
    <row r="10">
      <c r="A10" s="71"/>
      <c r="B10" s="71"/>
      <c r="C10" s="71"/>
      <c r="D10" s="71"/>
      <c r="E10" s="89">
        <v>1.624109755E9</v>
      </c>
      <c r="F10" s="66">
        <f>IFERROR(__xludf.DUMMYFUNCTION("INDEX(SPLIT(E10, char(10)), 0, 1)/86400+date(1970,1,1)"),44366.566608796296)</f>
        <v>44366.56661</v>
      </c>
      <c r="G10" s="86" t="s">
        <v>1248</v>
      </c>
      <c r="H10" s="86" t="s">
        <v>1249</v>
      </c>
      <c r="I10" s="40" t="s">
        <v>17</v>
      </c>
    </row>
    <row r="11">
      <c r="A11" s="71"/>
      <c r="B11" s="71"/>
      <c r="C11" s="71"/>
      <c r="D11" s="71"/>
      <c r="E11" s="89">
        <v>1.624109911E9</v>
      </c>
      <c r="F11" s="66">
        <f>IFERROR(__xludf.DUMMYFUNCTION("INDEX(SPLIT(E11, char(10)), 0, 1)/86400+date(1970,1,1)"),44366.56841435185)</f>
        <v>44366.56841</v>
      </c>
      <c r="G11" s="86" t="s">
        <v>907</v>
      </c>
      <c r="H11" s="86" t="s">
        <v>1250</v>
      </c>
      <c r="I11" s="40" t="s">
        <v>17</v>
      </c>
    </row>
    <row r="12">
      <c r="A12" s="72" t="s">
        <v>121</v>
      </c>
      <c r="B12" s="90" t="s">
        <v>1251</v>
      </c>
      <c r="C12" s="88"/>
      <c r="D12" s="74"/>
      <c r="E12" s="89">
        <v>1.624110206E9</v>
      </c>
      <c r="F12" s="66">
        <f>IFERROR(__xludf.DUMMYFUNCTION("INDEX(SPLIT(E12, char(10)), 0, 1)/86400+date(1970,1,1)"),44366.5718287037)</f>
        <v>44366.57183</v>
      </c>
      <c r="G12" s="86" t="s">
        <v>1252</v>
      </c>
      <c r="H12" s="86" t="s">
        <v>1253</v>
      </c>
      <c r="I12" s="40" t="s">
        <v>14</v>
      </c>
    </row>
    <row r="13">
      <c r="A13" s="72" t="s">
        <v>125</v>
      </c>
      <c r="B13" s="74"/>
      <c r="C13" s="72" t="s">
        <v>89</v>
      </c>
      <c r="D13" s="72" t="s">
        <v>90</v>
      </c>
      <c r="E13" s="89">
        <v>1.624110398E9</v>
      </c>
      <c r="F13" s="66">
        <f>IFERROR(__xludf.DUMMYFUNCTION("INDEX(SPLIT(E13, char(10)), 0, 1)/86400+date(1970,1,1)"),44366.57405092593)</f>
        <v>44366.57405</v>
      </c>
      <c r="G13" s="86" t="s">
        <v>1254</v>
      </c>
      <c r="H13" s="86" t="s">
        <v>1255</v>
      </c>
      <c r="I13" s="40" t="s">
        <v>16</v>
      </c>
    </row>
    <row r="14">
      <c r="A14" s="5" t="s">
        <v>128</v>
      </c>
      <c r="B14" s="5" t="s">
        <v>129</v>
      </c>
      <c r="C14" s="75">
        <f t="shared" ref="C14:C17" si="5">COUNTIF($A$19:$A1000, A14)</f>
        <v>2</v>
      </c>
      <c r="D14" s="76">
        <f>IFERROR(__xludf.DUMMYFUNCTION("IF(C14, COUNTIF(FILTER($D$19:$D1000, $A$19:$A1000=A14), TRUE)/C14, 0)"),1.0)</f>
        <v>1</v>
      </c>
      <c r="E14" s="89">
        <v>1.624110489E9</v>
      </c>
      <c r="F14" s="66">
        <f>IFERROR(__xludf.DUMMYFUNCTION("INDEX(SPLIT(E14, char(10)), 0, 1)/86400+date(1970,1,1)"),44366.575104166666)</f>
        <v>44366.5751</v>
      </c>
      <c r="G14" s="86" t="s">
        <v>1256</v>
      </c>
      <c r="H14" s="86" t="s">
        <v>1257</v>
      </c>
      <c r="I14" s="40" t="s">
        <v>17</v>
      </c>
    </row>
    <row r="15">
      <c r="A15" s="5" t="s">
        <v>6</v>
      </c>
      <c r="B15" s="5" t="s">
        <v>132</v>
      </c>
      <c r="C15" s="75">
        <f t="shared" si="5"/>
        <v>2</v>
      </c>
      <c r="D15" s="76">
        <f>IFERROR(__xludf.DUMMYFUNCTION("IF(C15, COUNTIF(FILTER($D$19:$D1000, $A$19:$A1000=A15), TRUE)/C15, 0)"),0.5)</f>
        <v>0.5</v>
      </c>
      <c r="E15" s="89">
        <v>1.62411062E9</v>
      </c>
      <c r="F15" s="66">
        <f>IFERROR(__xludf.DUMMYFUNCTION("INDEX(SPLIT(E15, char(10)), 0, 1)/86400+date(1970,1,1)"),44366.57662037037)</f>
        <v>44366.57662</v>
      </c>
      <c r="G15" s="86" t="s">
        <v>1258</v>
      </c>
      <c r="H15" s="86" t="s">
        <v>1259</v>
      </c>
      <c r="I15" s="40" t="s">
        <v>17</v>
      </c>
    </row>
    <row r="16">
      <c r="A16" s="5" t="s">
        <v>7</v>
      </c>
      <c r="B16" s="5" t="s">
        <v>135</v>
      </c>
      <c r="C16" s="75">
        <f t="shared" si="5"/>
        <v>4</v>
      </c>
      <c r="D16" s="76">
        <f>IFERROR(__xludf.DUMMYFUNCTION("IF(C16, COUNTIF(FILTER($D$19:$D1000, $A$19:$A1000=A16), TRUE)/C16, 0)"),0.5)</f>
        <v>0.5</v>
      </c>
      <c r="E16" s="89">
        <v>1.624110768E9</v>
      </c>
      <c r="F16" s="66">
        <f>IFERROR(__xludf.DUMMYFUNCTION("INDEX(SPLIT(E16, char(10)), 0, 1)/86400+date(1970,1,1)"),44366.57833333334)</f>
        <v>44366.57833</v>
      </c>
      <c r="G16" s="86" t="s">
        <v>1260</v>
      </c>
      <c r="H16" s="86" t="s">
        <v>1261</v>
      </c>
      <c r="I16" s="40" t="s">
        <v>17</v>
      </c>
    </row>
    <row r="17">
      <c r="A17" s="5" t="s">
        <v>8</v>
      </c>
      <c r="B17" s="5" t="s">
        <v>79</v>
      </c>
      <c r="C17" s="75">
        <f t="shared" si="5"/>
        <v>7</v>
      </c>
      <c r="D17" s="76">
        <f>IFERROR(__xludf.DUMMYFUNCTION("IF(C17, COUNTIF(FILTER($D$19:$D1000, $A$19:$A1000=A17), TRUE)/C17, 0)"),0.5714285714285714)</f>
        <v>0.5714285714</v>
      </c>
      <c r="E17" s="89">
        <v>1.624110915E9</v>
      </c>
      <c r="F17" s="66">
        <f>IFERROR(__xludf.DUMMYFUNCTION("INDEX(SPLIT(E17, char(10)), 0, 1)/86400+date(1970,1,1)"),44366.580034722225)</f>
        <v>44366.58003</v>
      </c>
      <c r="G17" s="86" t="s">
        <v>1262</v>
      </c>
      <c r="H17" s="86" t="s">
        <v>1263</v>
      </c>
      <c r="I17" s="40" t="s">
        <v>14</v>
      </c>
    </row>
    <row r="18">
      <c r="A18" s="74"/>
      <c r="B18" s="72" t="s">
        <v>9</v>
      </c>
      <c r="C18" s="75">
        <f>SUM(C14:C17)</f>
        <v>15</v>
      </c>
      <c r="D18" s="76">
        <f>COUNTIF($D$19:$D1000, TRUE)/SUM($C$14:$C$17)</f>
        <v>0.6</v>
      </c>
      <c r="E18" s="89">
        <v>1.624111226E9</v>
      </c>
      <c r="F18" s="66">
        <f>IFERROR(__xludf.DUMMYFUNCTION("INDEX(SPLIT(E18, char(10)), 0, 1)/86400+date(1970,1,1)"),44366.58363425926)</f>
        <v>44366.58363</v>
      </c>
      <c r="G18" s="86" t="s">
        <v>1264</v>
      </c>
      <c r="H18" s="86" t="s">
        <v>1265</v>
      </c>
      <c r="I18" s="40" t="s">
        <v>14</v>
      </c>
    </row>
    <row r="19">
      <c r="A19" s="72" t="s">
        <v>95</v>
      </c>
      <c r="B19" s="72" t="s">
        <v>142</v>
      </c>
      <c r="C19" s="72" t="s">
        <v>143</v>
      </c>
      <c r="D19" s="72" t="s">
        <v>144</v>
      </c>
      <c r="E19" s="89">
        <v>1.624111635E9</v>
      </c>
      <c r="F19" s="66">
        <f>IFERROR(__xludf.DUMMYFUNCTION("INDEX(SPLIT(E19, char(10)), 0, 1)/86400+date(1970,1,1)"),44366.588368055556)</f>
        <v>44366.58837</v>
      </c>
      <c r="G19" s="86" t="s">
        <v>1266</v>
      </c>
      <c r="H19" s="86" t="s">
        <v>1267</v>
      </c>
      <c r="I19" s="40" t="s">
        <v>75</v>
      </c>
    </row>
    <row r="20">
      <c r="A20" s="77" t="s">
        <v>7</v>
      </c>
      <c r="B20" s="77" t="s">
        <v>147</v>
      </c>
      <c r="C20" s="78">
        <v>1.0</v>
      </c>
      <c r="D20" s="80" t="b">
        <v>1</v>
      </c>
      <c r="E20" s="89">
        <v>1.624111836E9</v>
      </c>
      <c r="F20" s="66">
        <f>IFERROR(__xludf.DUMMYFUNCTION("INDEX(SPLIT(E20, char(10)), 0, 1)/86400+date(1970,1,1)"),44366.59069444444)</f>
        <v>44366.59069</v>
      </c>
      <c r="G20" s="86" t="s">
        <v>1268</v>
      </c>
      <c r="H20" s="86" t="s">
        <v>1269</v>
      </c>
      <c r="I20" s="40" t="s">
        <v>15</v>
      </c>
    </row>
    <row r="21">
      <c r="A21" s="77" t="s">
        <v>6</v>
      </c>
      <c r="B21" s="77" t="s">
        <v>1128</v>
      </c>
      <c r="C21" s="78">
        <v>10.0</v>
      </c>
      <c r="D21" s="80" t="b">
        <v>1</v>
      </c>
      <c r="E21" s="89">
        <v>1.62411206E9</v>
      </c>
      <c r="F21" s="66">
        <f>IFERROR(__xludf.DUMMYFUNCTION("INDEX(SPLIT(E21, char(10)), 0, 1)/86400+date(1970,1,1)"),44366.59328703704)</f>
        <v>44366.59329</v>
      </c>
      <c r="G21" s="86" t="s">
        <v>1270</v>
      </c>
      <c r="H21" s="86" t="s">
        <v>1271</v>
      </c>
      <c r="I21" s="40" t="s">
        <v>17</v>
      </c>
    </row>
    <row r="22">
      <c r="A22" s="77" t="s">
        <v>8</v>
      </c>
      <c r="B22" s="77" t="s">
        <v>1131</v>
      </c>
      <c r="C22" s="78">
        <v>26.0</v>
      </c>
      <c r="D22" s="80" t="b">
        <v>0</v>
      </c>
      <c r="E22" s="89">
        <v>1.624112246E9</v>
      </c>
      <c r="F22" s="66">
        <f>IFERROR(__xludf.DUMMYFUNCTION("INDEX(SPLIT(E22, char(10)), 0, 1)/86400+date(1970,1,1)"),44366.59543981482)</f>
        <v>44366.59544</v>
      </c>
      <c r="G22" s="86" t="s">
        <v>1272</v>
      </c>
      <c r="H22" s="86" t="s">
        <v>1273</v>
      </c>
      <c r="I22" s="40" t="s">
        <v>16</v>
      </c>
    </row>
    <row r="23">
      <c r="A23" s="77" t="s">
        <v>128</v>
      </c>
      <c r="B23" s="77" t="s">
        <v>1134</v>
      </c>
      <c r="C23" s="78">
        <v>45.0</v>
      </c>
      <c r="D23" s="80" t="b">
        <v>1</v>
      </c>
      <c r="E23" s="89">
        <v>1.624112463E9</v>
      </c>
      <c r="F23" s="66">
        <f>IFERROR(__xludf.DUMMYFUNCTION("INDEX(SPLIT(E23, char(10)), 0, 1)/86400+date(1970,1,1)"),44366.59795138889)</f>
        <v>44366.59795</v>
      </c>
      <c r="G23" s="86" t="s">
        <v>1274</v>
      </c>
      <c r="H23" s="86" t="s">
        <v>1275</v>
      </c>
      <c r="I23" s="40" t="s">
        <v>15</v>
      </c>
    </row>
    <row r="24">
      <c r="A24" s="5" t="s">
        <v>7</v>
      </c>
      <c r="B24" s="5" t="s">
        <v>153</v>
      </c>
      <c r="C24" s="78">
        <v>45.0</v>
      </c>
      <c r="D24" s="80" t="b">
        <v>0</v>
      </c>
      <c r="E24" s="89">
        <v>1.624112594E9</v>
      </c>
      <c r="F24" s="66">
        <f>IFERROR(__xludf.DUMMYFUNCTION("INDEX(SPLIT(E24, char(10)), 0, 1)/86400+date(1970,1,1)"),44366.59946759259)</f>
        <v>44366.59947</v>
      </c>
      <c r="G24" s="86" t="s">
        <v>1276</v>
      </c>
      <c r="H24" s="86" t="s">
        <v>1277</v>
      </c>
      <c r="I24" s="40" t="s">
        <v>17</v>
      </c>
    </row>
    <row r="25">
      <c r="A25" s="77" t="s">
        <v>7</v>
      </c>
      <c r="B25" s="74" t="s">
        <v>156</v>
      </c>
      <c r="C25" s="78">
        <v>46.0</v>
      </c>
      <c r="D25" s="80" t="b">
        <v>0</v>
      </c>
      <c r="E25" s="89">
        <v>1.624112749E9</v>
      </c>
      <c r="F25" s="66">
        <f>IFERROR(__xludf.DUMMYFUNCTION("INDEX(SPLIT(E25, char(10)), 0, 1)/86400+date(1970,1,1)"),44366.60126157408)</f>
        <v>44366.60126</v>
      </c>
      <c r="G25" s="86" t="s">
        <v>1278</v>
      </c>
      <c r="H25" s="86" t="s">
        <v>1279</v>
      </c>
      <c r="I25" s="40" t="s">
        <v>16</v>
      </c>
    </row>
    <row r="26">
      <c r="A26" s="77" t="s">
        <v>6</v>
      </c>
      <c r="B26" s="74" t="s">
        <v>1141</v>
      </c>
      <c r="C26" s="78">
        <v>52.0</v>
      </c>
      <c r="D26" s="80" t="b">
        <v>0</v>
      </c>
      <c r="E26" s="89">
        <v>1.624112844E9</v>
      </c>
      <c r="F26" s="66">
        <f>IFERROR(__xludf.DUMMYFUNCTION("INDEX(SPLIT(E26, char(10)), 0, 1)/86400+date(1970,1,1)"),44366.602361111116)</f>
        <v>44366.60236</v>
      </c>
      <c r="G26" s="86" t="s">
        <v>1280</v>
      </c>
      <c r="H26" s="86" t="s">
        <v>1281</v>
      </c>
      <c r="I26" s="40" t="s">
        <v>17</v>
      </c>
    </row>
    <row r="27">
      <c r="A27" s="77" t="s">
        <v>8</v>
      </c>
      <c r="B27" s="74" t="s">
        <v>1144</v>
      </c>
      <c r="C27" s="78">
        <v>57.0</v>
      </c>
      <c r="D27" s="80" t="b">
        <v>1</v>
      </c>
      <c r="E27" s="89">
        <v>1.624113081E9</v>
      </c>
      <c r="F27" s="66">
        <f>IFERROR(__xludf.DUMMYFUNCTION("INDEX(SPLIT(E27, char(10)), 0, 1)/86400+date(1970,1,1)"),44366.605104166665)</f>
        <v>44366.6051</v>
      </c>
      <c r="G27" s="86" t="s">
        <v>1282</v>
      </c>
      <c r="H27" s="86" t="s">
        <v>1283</v>
      </c>
      <c r="I27" s="40" t="s">
        <v>15</v>
      </c>
    </row>
    <row r="28">
      <c r="A28" s="77" t="s">
        <v>128</v>
      </c>
      <c r="B28" s="74" t="s">
        <v>1147</v>
      </c>
      <c r="C28" s="78">
        <v>66.0</v>
      </c>
      <c r="D28" s="80" t="b">
        <v>1</v>
      </c>
      <c r="E28" s="89">
        <v>1.624113179E9</v>
      </c>
      <c r="F28" s="66">
        <f>IFERROR(__xludf.DUMMYFUNCTION("INDEX(SPLIT(E28, char(10)), 0, 1)/86400+date(1970,1,1)"),44366.60623842593)</f>
        <v>44366.60624</v>
      </c>
      <c r="G28" s="86" t="s">
        <v>1284</v>
      </c>
      <c r="H28" s="86" t="s">
        <v>1285</v>
      </c>
      <c r="I28" s="40" t="s">
        <v>17</v>
      </c>
    </row>
    <row r="29">
      <c r="A29" s="77" t="s">
        <v>8</v>
      </c>
      <c r="B29" s="74" t="s">
        <v>1150</v>
      </c>
      <c r="C29" s="78">
        <v>75.0</v>
      </c>
      <c r="D29" s="80" t="b">
        <v>0</v>
      </c>
      <c r="E29" s="89">
        <v>1.624113289E9</v>
      </c>
      <c r="F29" s="66">
        <f>IFERROR(__xludf.DUMMYFUNCTION("INDEX(SPLIT(E29, char(10)), 0, 1)/86400+date(1970,1,1)"),44366.607511574075)</f>
        <v>44366.60751</v>
      </c>
      <c r="G29" s="86" t="s">
        <v>1286</v>
      </c>
      <c r="H29" s="86" t="s">
        <v>1287</v>
      </c>
      <c r="I29" s="40" t="s">
        <v>16</v>
      </c>
    </row>
    <row r="30">
      <c r="A30" s="77" t="s">
        <v>8</v>
      </c>
      <c r="B30" s="74" t="s">
        <v>1153</v>
      </c>
      <c r="C30" s="78">
        <v>76.0</v>
      </c>
      <c r="D30" s="80" t="b">
        <v>1</v>
      </c>
      <c r="E30" s="89">
        <v>1.624113389E9</v>
      </c>
      <c r="F30" s="66">
        <f>IFERROR(__xludf.DUMMYFUNCTION("INDEX(SPLIT(E30, char(10)), 0, 1)/86400+date(1970,1,1)"),44366.608668981484)</f>
        <v>44366.60867</v>
      </c>
      <c r="G30" s="86" t="s">
        <v>1288</v>
      </c>
      <c r="H30" s="86" t="s">
        <v>1289</v>
      </c>
      <c r="I30" s="40" t="s">
        <v>16</v>
      </c>
    </row>
    <row r="31">
      <c r="A31" s="77" t="s">
        <v>8</v>
      </c>
      <c r="B31" s="74" t="s">
        <v>1156</v>
      </c>
      <c r="C31" s="78">
        <v>76.0</v>
      </c>
      <c r="D31" s="80" t="b">
        <v>1</v>
      </c>
      <c r="E31" s="89">
        <v>1.624113539E9</v>
      </c>
      <c r="F31" s="66">
        <f>IFERROR(__xludf.DUMMYFUNCTION("INDEX(SPLIT(E31, char(10)), 0, 1)/86400+date(1970,1,1)"),44366.61040509259)</f>
        <v>44366.61041</v>
      </c>
      <c r="G31" s="86" t="s">
        <v>1290</v>
      </c>
      <c r="H31" s="86" t="s">
        <v>1291</v>
      </c>
      <c r="I31" s="40" t="s">
        <v>15</v>
      </c>
    </row>
    <row r="32">
      <c r="A32" s="77" t="s">
        <v>8</v>
      </c>
      <c r="B32" s="74" t="s">
        <v>1159</v>
      </c>
      <c r="C32" s="78">
        <v>84.0</v>
      </c>
      <c r="D32" s="80" t="b">
        <v>0</v>
      </c>
      <c r="E32" s="89">
        <v>1.624113749E9</v>
      </c>
      <c r="F32" s="66">
        <f>IFERROR(__xludf.DUMMYFUNCTION("INDEX(SPLIT(E32, char(10)), 0, 1)/86400+date(1970,1,1)"),44366.61283564815)</f>
        <v>44366.61284</v>
      </c>
      <c r="G32" s="86" t="s">
        <v>1292</v>
      </c>
      <c r="H32" s="86" t="s">
        <v>1293</v>
      </c>
      <c r="I32" s="40" t="s">
        <v>17</v>
      </c>
    </row>
    <row r="33">
      <c r="A33" s="77" t="s">
        <v>8</v>
      </c>
      <c r="B33" s="74" t="s">
        <v>1162</v>
      </c>
      <c r="C33" s="78">
        <v>87.0</v>
      </c>
      <c r="D33" s="80" t="b">
        <v>1</v>
      </c>
      <c r="E33" s="89">
        <v>1.624113858E9</v>
      </c>
      <c r="F33" s="66">
        <f>IFERROR(__xludf.DUMMYFUNCTION("INDEX(SPLIT(E33, char(10)), 0, 1)/86400+date(1970,1,1)"),44366.61409722222)</f>
        <v>44366.6141</v>
      </c>
      <c r="G33" s="86" t="s">
        <v>1294</v>
      </c>
      <c r="H33" s="86" t="s">
        <v>1295</v>
      </c>
      <c r="I33" s="40" t="s">
        <v>15</v>
      </c>
    </row>
    <row r="34">
      <c r="A34" s="77" t="s">
        <v>7</v>
      </c>
      <c r="B34" s="74" t="s">
        <v>181</v>
      </c>
      <c r="C34" s="78">
        <v>90.0</v>
      </c>
      <c r="D34" s="80" t="b">
        <v>1</v>
      </c>
      <c r="E34" s="89">
        <v>1.624114078E9</v>
      </c>
      <c r="F34" s="66">
        <f>IFERROR(__xludf.DUMMYFUNCTION("INDEX(SPLIT(E34, char(10)), 0, 1)/86400+date(1970,1,1)"),44366.616643518515)</f>
        <v>44366.61664</v>
      </c>
      <c r="G34" s="86" t="s">
        <v>1296</v>
      </c>
      <c r="H34" s="86" t="s">
        <v>1297</v>
      </c>
      <c r="I34" s="40" t="s">
        <v>16</v>
      </c>
    </row>
    <row r="35">
      <c r="A35" s="77"/>
      <c r="B35" s="74"/>
      <c r="C35" s="78"/>
      <c r="D35" s="80"/>
      <c r="E35" s="89">
        <v>1.624114233E9</v>
      </c>
      <c r="F35" s="66">
        <f>IFERROR(__xludf.DUMMYFUNCTION("INDEX(SPLIT(E35, char(10)), 0, 1)/86400+date(1970,1,1)"),44366.6184375)</f>
        <v>44366.61844</v>
      </c>
      <c r="G35" s="86" t="s">
        <v>1298</v>
      </c>
      <c r="H35" s="86" t="s">
        <v>1299</v>
      </c>
      <c r="I35" s="40" t="s">
        <v>75</v>
      </c>
    </row>
    <row r="36">
      <c r="A36" s="77"/>
      <c r="B36" s="74"/>
      <c r="C36" s="78"/>
      <c r="D36" s="80"/>
      <c r="E36" s="89">
        <v>1.624114457E9</v>
      </c>
      <c r="F36" s="66">
        <f>IFERROR(__xludf.DUMMYFUNCTION("INDEX(SPLIT(E36, char(10)), 0, 1)/86400+date(1970,1,1)"),44366.62103009259)</f>
        <v>44366.62103</v>
      </c>
      <c r="G36" s="86" t="s">
        <v>1300</v>
      </c>
      <c r="H36" s="86" t="s">
        <v>1301</v>
      </c>
      <c r="I36" s="40" t="s">
        <v>17</v>
      </c>
    </row>
    <row r="37">
      <c r="A37" s="77"/>
      <c r="B37" s="74"/>
      <c r="C37" s="78"/>
      <c r="D37" s="80"/>
      <c r="E37" s="89">
        <v>1.624114556E9</v>
      </c>
      <c r="F37" s="66">
        <f>IFERROR(__xludf.DUMMYFUNCTION("INDEX(SPLIT(E37, char(10)), 0, 1)/86400+date(1970,1,1)"),44366.62217592592)</f>
        <v>44366.62218</v>
      </c>
      <c r="G37" s="86" t="s">
        <v>1302</v>
      </c>
      <c r="H37" s="86" t="s">
        <v>1303</v>
      </c>
      <c r="I37" s="40" t="s">
        <v>15</v>
      </c>
    </row>
    <row r="38">
      <c r="A38" s="77"/>
      <c r="B38" s="74"/>
      <c r="C38" s="78"/>
      <c r="D38" s="80"/>
      <c r="E38" s="89">
        <v>1.624114678E9</v>
      </c>
      <c r="F38" s="66">
        <f>IFERROR(__xludf.DUMMYFUNCTION("INDEX(SPLIT(E38, char(10)), 0, 1)/86400+date(1970,1,1)"),44366.62358796297)</f>
        <v>44366.62359</v>
      </c>
      <c r="G38" s="86" t="s">
        <v>1304</v>
      </c>
      <c r="H38" s="86" t="s">
        <v>1305</v>
      </c>
      <c r="I38" s="40" t="s">
        <v>16</v>
      </c>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9</v>
      </c>
      <c r="D2" s="64">
        <f t="shared" ref="D2:D6" si="2">C2/COUNTA(I$2:I1000)</f>
        <v>0.28125</v>
      </c>
      <c r="E2" s="68">
        <v>1.617478217E9</v>
      </c>
      <c r="F2" s="66">
        <f>IFERROR(__xludf.DUMMYFUNCTION("INDEX(SPLIT(E2, char(10)), 0, 1)/86400+date(1970,1,1)"),44289.812696759254)</f>
        <v>44289.8127</v>
      </c>
      <c r="G2" s="80" t="s">
        <v>1306</v>
      </c>
      <c r="H2" s="86" t="s">
        <v>1307</v>
      </c>
      <c r="I2" s="40" t="s">
        <v>16</v>
      </c>
      <c r="J2" s="40"/>
    </row>
    <row r="3">
      <c r="A3" s="40" t="s">
        <v>14</v>
      </c>
      <c r="B3" s="40" t="s">
        <v>99</v>
      </c>
      <c r="C3" s="40">
        <f t="shared" si="1"/>
        <v>1</v>
      </c>
      <c r="D3" s="64">
        <f t="shared" si="2"/>
        <v>0.03125</v>
      </c>
      <c r="E3" s="68">
        <v>1.617478338E9</v>
      </c>
      <c r="F3" s="66">
        <f>IFERROR(__xludf.DUMMYFUNCTION("INDEX(SPLIT(E3, char(10)), 0, 1)/86400+date(1970,1,1)"),44289.81409722222)</f>
        <v>44289.8141</v>
      </c>
      <c r="G3" s="80" t="s">
        <v>1308</v>
      </c>
      <c r="H3" s="86" t="s">
        <v>1309</v>
      </c>
      <c r="I3" s="40" t="s">
        <v>15</v>
      </c>
      <c r="J3" s="40"/>
    </row>
    <row r="4">
      <c r="A4" s="40" t="s">
        <v>15</v>
      </c>
      <c r="B4" s="40" t="s">
        <v>102</v>
      </c>
      <c r="C4" s="40">
        <f t="shared" si="1"/>
        <v>8</v>
      </c>
      <c r="D4" s="64">
        <f t="shared" si="2"/>
        <v>0.25</v>
      </c>
      <c r="E4" s="68">
        <v>1.617478495E9</v>
      </c>
      <c r="F4" s="66">
        <f>IFERROR(__xludf.DUMMYFUNCTION("INDEX(SPLIT(E4, char(10)), 0, 1)/86400+date(1970,1,1)"),44289.81591435186)</f>
        <v>44289.81591</v>
      </c>
      <c r="G4" s="80" t="s">
        <v>1310</v>
      </c>
      <c r="H4" s="86" t="s">
        <v>1311</v>
      </c>
      <c r="I4" s="40" t="s">
        <v>15</v>
      </c>
      <c r="J4" s="40"/>
    </row>
    <row r="5">
      <c r="A5" s="40" t="s">
        <v>16</v>
      </c>
      <c r="B5" s="40" t="s">
        <v>105</v>
      </c>
      <c r="C5" s="40">
        <f t="shared" si="1"/>
        <v>6</v>
      </c>
      <c r="D5" s="64">
        <f t="shared" si="2"/>
        <v>0.1875</v>
      </c>
      <c r="E5" s="68">
        <v>1.617478678E9</v>
      </c>
      <c r="F5" s="66">
        <f>IFERROR(__xludf.DUMMYFUNCTION("INDEX(SPLIT(E5, char(10)), 0, 1)/86400+date(1970,1,1)"),44289.818032407406)</f>
        <v>44289.81803</v>
      </c>
      <c r="G5" s="80" t="s">
        <v>1312</v>
      </c>
      <c r="H5" s="86" t="s">
        <v>1313</v>
      </c>
      <c r="I5" s="40" t="s">
        <v>75</v>
      </c>
      <c r="J5" s="40"/>
    </row>
    <row r="6">
      <c r="A6" s="40" t="s">
        <v>17</v>
      </c>
      <c r="B6" s="40" t="s">
        <v>108</v>
      </c>
      <c r="C6" s="40">
        <f t="shared" si="1"/>
        <v>8</v>
      </c>
      <c r="D6" s="64">
        <f t="shared" si="2"/>
        <v>0.25</v>
      </c>
      <c r="E6" s="89">
        <v>1.617478795E9</v>
      </c>
      <c r="F6" s="66">
        <f>IFERROR(__xludf.DUMMYFUNCTION("INDEX(SPLIT(E6, char(10)), 0, 1)/86400+date(1970,1,1)"),44289.819386574076)</f>
        <v>44289.81939</v>
      </c>
      <c r="G6" s="89" t="s">
        <v>1314</v>
      </c>
      <c r="H6" s="86" t="s">
        <v>1315</v>
      </c>
      <c r="I6" s="40" t="s">
        <v>17</v>
      </c>
    </row>
    <row r="7">
      <c r="B7" s="40" t="s">
        <v>13</v>
      </c>
      <c r="C7" s="69">
        <f t="shared" ref="C7:D7" si="3">SUM(C2:C6)</f>
        <v>32</v>
      </c>
      <c r="D7" s="70">
        <f t="shared" si="3"/>
        <v>1</v>
      </c>
      <c r="E7" s="89">
        <v>1.61747905E9</v>
      </c>
      <c r="F7" s="66">
        <f>IFERROR(__xludf.DUMMYFUNCTION("INDEX(SPLIT(E7, char(10)), 0, 1)/86400+date(1970,1,1)"),44289.82233796296)</f>
        <v>44289.82234</v>
      </c>
      <c r="G7" s="89" t="s">
        <v>1316</v>
      </c>
      <c r="H7" s="86" t="s">
        <v>1317</v>
      </c>
      <c r="I7" s="40" t="s">
        <v>75</v>
      </c>
    </row>
    <row r="8">
      <c r="A8" s="71"/>
      <c r="B8" s="40" t="s">
        <v>18</v>
      </c>
      <c r="C8" s="57">
        <f t="shared" ref="C8:D8" si="4">SUM(C5:C6)</f>
        <v>14</v>
      </c>
      <c r="D8" s="14">
        <f t="shared" si="4"/>
        <v>0.4375</v>
      </c>
      <c r="E8" s="89">
        <v>1.617479217E9</v>
      </c>
      <c r="F8" s="66">
        <f>IFERROR(__xludf.DUMMYFUNCTION("INDEX(SPLIT(E8, char(10)), 0, 1)/86400+date(1970,1,1)"),44289.824270833335)</f>
        <v>44289.82427</v>
      </c>
      <c r="G8" s="89" t="s">
        <v>1318</v>
      </c>
      <c r="H8" s="86" t="s">
        <v>1319</v>
      </c>
      <c r="I8" s="40" t="s">
        <v>17</v>
      </c>
    </row>
    <row r="9">
      <c r="A9" s="71"/>
      <c r="B9" s="40" t="s">
        <v>47</v>
      </c>
      <c r="C9" s="57">
        <f>SUM(C6:C7)</f>
        <v>40</v>
      </c>
      <c r="D9" s="14">
        <f>SUM(D5:D6) + D2</f>
        <v>0.71875</v>
      </c>
      <c r="E9" s="89">
        <v>1.617479311E9</v>
      </c>
      <c r="F9" s="66">
        <f>IFERROR(__xludf.DUMMYFUNCTION("INDEX(SPLIT(E9, char(10)), 0, 1)/86400+date(1970,1,1)"),44289.8253587963)</f>
        <v>44289.82536</v>
      </c>
      <c r="G9" s="89" t="s">
        <v>1320</v>
      </c>
      <c r="H9" s="86" t="s">
        <v>1321</v>
      </c>
      <c r="I9" s="40" t="s">
        <v>75</v>
      </c>
    </row>
    <row r="10">
      <c r="A10" s="71"/>
      <c r="B10" s="71"/>
      <c r="C10" s="71"/>
      <c r="D10" s="71"/>
      <c r="E10" s="89">
        <v>1.617479544E9</v>
      </c>
      <c r="F10" s="66">
        <f>IFERROR(__xludf.DUMMYFUNCTION("INDEX(SPLIT(E10, char(10)), 0, 1)/86400+date(1970,1,1)"),44289.828055555554)</f>
        <v>44289.82806</v>
      </c>
      <c r="G10" s="89" t="s">
        <v>1322</v>
      </c>
      <c r="H10" s="86" t="s">
        <v>1323</v>
      </c>
      <c r="I10" s="40" t="s">
        <v>15</v>
      </c>
    </row>
    <row r="11">
      <c r="A11" s="71"/>
      <c r="B11" s="71"/>
      <c r="C11" s="71"/>
      <c r="D11" s="71"/>
      <c r="E11" s="89">
        <v>1.617479724E9</v>
      </c>
      <c r="F11" s="66">
        <f>IFERROR(__xludf.DUMMYFUNCTION("INDEX(SPLIT(E11, char(10)), 0, 1)/86400+date(1970,1,1)"),44289.830138888894)</f>
        <v>44289.83014</v>
      </c>
      <c r="G11" s="89" t="s">
        <v>1324</v>
      </c>
      <c r="H11" s="86" t="s">
        <v>1325</v>
      </c>
      <c r="I11" s="40" t="s">
        <v>17</v>
      </c>
    </row>
    <row r="12">
      <c r="A12" s="72" t="s">
        <v>121</v>
      </c>
      <c r="B12" s="93" t="s">
        <v>1326</v>
      </c>
      <c r="C12" s="71"/>
      <c r="D12" s="74"/>
      <c r="E12" s="89">
        <v>1.617479892E9</v>
      </c>
      <c r="F12" s="66">
        <f>IFERROR(__xludf.DUMMYFUNCTION("INDEX(SPLIT(E12, char(10)), 0, 1)/86400+date(1970,1,1)"),44289.832083333335)</f>
        <v>44289.83208</v>
      </c>
      <c r="G12" s="89" t="s">
        <v>1327</v>
      </c>
      <c r="H12" s="86" t="s">
        <v>1328</v>
      </c>
      <c r="I12" s="40" t="s">
        <v>15</v>
      </c>
    </row>
    <row r="13">
      <c r="A13" s="72" t="s">
        <v>125</v>
      </c>
      <c r="B13" s="74"/>
      <c r="C13" s="72" t="s">
        <v>89</v>
      </c>
      <c r="D13" s="72" t="s">
        <v>90</v>
      </c>
      <c r="E13" s="89">
        <v>1.617480305E9</v>
      </c>
      <c r="F13" s="66">
        <f>IFERROR(__xludf.DUMMYFUNCTION("INDEX(SPLIT(E13, char(10)), 0, 1)/86400+date(1970,1,1)"),44289.836863425924)</f>
        <v>44289.83686</v>
      </c>
      <c r="G13" s="89" t="s">
        <v>1329</v>
      </c>
      <c r="H13" s="86" t="s">
        <v>1330</v>
      </c>
      <c r="I13" s="40" t="s">
        <v>15</v>
      </c>
    </row>
    <row r="14">
      <c r="A14" s="5" t="s">
        <v>128</v>
      </c>
      <c r="B14" s="5" t="s">
        <v>129</v>
      </c>
      <c r="C14" s="75">
        <f t="shared" ref="C14:C17" si="5">COUNTIF($A$19:$A1000, A14)</f>
        <v>1</v>
      </c>
      <c r="D14" s="76">
        <f>IFERROR(__xludf.DUMMYFUNCTION("IF(C14, COUNTIF(FILTER($D$19:$D1000, $A$19:$A1000=A14), TRUE)/C14, 0)"),1.0)</f>
        <v>1</v>
      </c>
      <c r="E14" s="89">
        <v>1.617480655E9</v>
      </c>
      <c r="F14" s="66">
        <f>IFERROR(__xludf.DUMMYFUNCTION("INDEX(SPLIT(E14, char(10)), 0, 1)/86400+date(1970,1,1)"),44289.84091435185)</f>
        <v>44289.84091</v>
      </c>
      <c r="G14" s="89" t="s">
        <v>1331</v>
      </c>
      <c r="H14" s="86" t="s">
        <v>1332</v>
      </c>
      <c r="I14" s="40" t="s">
        <v>15</v>
      </c>
    </row>
    <row r="15">
      <c r="A15" s="5" t="s">
        <v>6</v>
      </c>
      <c r="B15" s="5" t="s">
        <v>132</v>
      </c>
      <c r="C15" s="75">
        <f t="shared" si="5"/>
        <v>3</v>
      </c>
      <c r="D15" s="76">
        <f>IFERROR(__xludf.DUMMYFUNCTION("IF(C15, COUNTIF(FILTER($D$19:$D1000, $A$19:$A1000=A15), TRUE)/C15, 0)"),0.0)</f>
        <v>0</v>
      </c>
      <c r="E15" s="89">
        <v>1.617481223E9</v>
      </c>
      <c r="F15" s="66">
        <f>IFERROR(__xludf.DUMMYFUNCTION("INDEX(SPLIT(E15, char(10)), 0, 1)/86400+date(1970,1,1)"),44289.84748842593)</f>
        <v>44289.84749</v>
      </c>
      <c r="G15" s="89" t="s">
        <v>1333</v>
      </c>
      <c r="H15" s="86" t="s">
        <v>1334</v>
      </c>
      <c r="I15" s="40" t="s">
        <v>16</v>
      </c>
    </row>
    <row r="16">
      <c r="A16" s="5" t="s">
        <v>7</v>
      </c>
      <c r="B16" s="5" t="s">
        <v>135</v>
      </c>
      <c r="C16" s="75">
        <f t="shared" si="5"/>
        <v>4</v>
      </c>
      <c r="D16" s="76">
        <f>IFERROR(__xludf.DUMMYFUNCTION("IF(C16, COUNTIF(FILTER($D$19:$D1000, $A$19:$A1000=A16), TRUE)/C16, 0)"),1.0)</f>
        <v>1</v>
      </c>
      <c r="E16" s="89">
        <v>1.61748191E9</v>
      </c>
      <c r="F16" s="66">
        <f>IFERROR(__xludf.DUMMYFUNCTION("INDEX(SPLIT(E16, char(10)), 0, 1)/86400+date(1970,1,1)"),44289.85543981481)</f>
        <v>44289.85544</v>
      </c>
      <c r="G16" s="89" t="s">
        <v>446</v>
      </c>
      <c r="H16" s="86" t="s">
        <v>1335</v>
      </c>
      <c r="I16" s="40" t="s">
        <v>75</v>
      </c>
    </row>
    <row r="17">
      <c r="A17" s="5" t="s">
        <v>8</v>
      </c>
      <c r="B17" s="5" t="s">
        <v>79</v>
      </c>
      <c r="C17" s="75">
        <f t="shared" si="5"/>
        <v>8</v>
      </c>
      <c r="D17" s="76">
        <f>IFERROR(__xludf.DUMMYFUNCTION("IF(C17, COUNTIF(FILTER($D$19:$D1000, $A$19:$A1000=A17), TRUE)/C17, 0)"),0.125)</f>
        <v>0.125</v>
      </c>
      <c r="E17" s="89">
        <v>1.617482273E9</v>
      </c>
      <c r="F17" s="66">
        <f>IFERROR(__xludf.DUMMYFUNCTION("INDEX(SPLIT(E17, char(10)), 0, 1)/86400+date(1970,1,1)"),44289.8596412037)</f>
        <v>44289.85964</v>
      </c>
      <c r="G17" s="89" t="s">
        <v>1336</v>
      </c>
      <c r="H17" s="86" t="s">
        <v>1337</v>
      </c>
      <c r="I17" s="40" t="s">
        <v>16</v>
      </c>
    </row>
    <row r="18">
      <c r="A18" s="74"/>
      <c r="B18" s="72" t="s">
        <v>9</v>
      </c>
      <c r="C18" s="75">
        <f>SUM(C14:C17)</f>
        <v>16</v>
      </c>
      <c r="D18" s="76">
        <f>COUNTIF($D$19:$D1000, TRUE)/SUM($C$14:$C$17)</f>
        <v>0.375</v>
      </c>
      <c r="E18" s="89">
        <v>1.617483044E9</v>
      </c>
      <c r="F18" s="66">
        <f>IFERROR(__xludf.DUMMYFUNCTION("INDEX(SPLIT(E18, char(10)), 0, 1)/86400+date(1970,1,1)"),44289.86856481481)</f>
        <v>44289.86856</v>
      </c>
      <c r="G18" s="89" t="s">
        <v>1338</v>
      </c>
      <c r="H18" s="86" t="s">
        <v>1339</v>
      </c>
      <c r="I18" s="40" t="s">
        <v>17</v>
      </c>
    </row>
    <row r="19">
      <c r="A19" s="72" t="s">
        <v>95</v>
      </c>
      <c r="B19" s="72" t="s">
        <v>142</v>
      </c>
      <c r="C19" s="72" t="s">
        <v>143</v>
      </c>
      <c r="D19" s="72" t="s">
        <v>144</v>
      </c>
      <c r="E19" s="89">
        <v>1.617483268E9</v>
      </c>
      <c r="F19" s="66">
        <f>IFERROR(__xludf.DUMMYFUNCTION("INDEX(SPLIT(E19, char(10)), 0, 1)/86400+date(1970,1,1)"),44289.87115740741)</f>
        <v>44289.87116</v>
      </c>
      <c r="G19" s="89" t="s">
        <v>1340</v>
      </c>
      <c r="H19" s="86" t="s">
        <v>1341</v>
      </c>
      <c r="I19" s="40" t="s">
        <v>16</v>
      </c>
    </row>
    <row r="20">
      <c r="A20" s="77" t="s">
        <v>7</v>
      </c>
      <c r="B20" s="77" t="s">
        <v>147</v>
      </c>
      <c r="C20" s="78">
        <v>1.0</v>
      </c>
      <c r="D20" s="80" t="b">
        <v>1</v>
      </c>
      <c r="E20" s="89">
        <v>1.617483368E9</v>
      </c>
      <c r="F20" s="66">
        <f>IFERROR(__xludf.DUMMYFUNCTION("INDEX(SPLIT(E20, char(10)), 0, 1)/86400+date(1970,1,1)"),44289.87231481481)</f>
        <v>44289.87231</v>
      </c>
      <c r="G20" s="89" t="s">
        <v>1342</v>
      </c>
      <c r="H20" s="86" t="s">
        <v>1343</v>
      </c>
      <c r="I20" s="40" t="s">
        <v>75</v>
      </c>
    </row>
    <row r="21">
      <c r="A21" s="77" t="s">
        <v>6</v>
      </c>
      <c r="B21" s="68" t="s">
        <v>1344</v>
      </c>
      <c r="C21" s="94">
        <v>35.0</v>
      </c>
      <c r="D21" s="80" t="b">
        <v>0</v>
      </c>
      <c r="E21" s="89">
        <v>1.617483593E9</v>
      </c>
      <c r="F21" s="66">
        <f>IFERROR(__xludf.DUMMYFUNCTION("INDEX(SPLIT(E21, char(10)), 0, 1)/86400+date(1970,1,1)"),44289.874918981484)</f>
        <v>44289.87492</v>
      </c>
      <c r="G21" s="89" t="s">
        <v>1345</v>
      </c>
      <c r="H21" s="86" t="s">
        <v>1346</v>
      </c>
      <c r="I21" s="40" t="s">
        <v>14</v>
      </c>
    </row>
    <row r="22">
      <c r="A22" s="5" t="s">
        <v>7</v>
      </c>
      <c r="B22" s="5" t="s">
        <v>153</v>
      </c>
      <c r="C22" s="78">
        <v>45.0</v>
      </c>
      <c r="D22" s="80" t="b">
        <v>1</v>
      </c>
      <c r="E22" s="89">
        <v>1.617483708E9</v>
      </c>
      <c r="F22" s="66">
        <f>IFERROR(__xludf.DUMMYFUNCTION("INDEX(SPLIT(E22, char(10)), 0, 1)/86400+date(1970,1,1)"),44289.87625)</f>
        <v>44289.87625</v>
      </c>
      <c r="G22" s="86" t="s">
        <v>1347</v>
      </c>
      <c r="H22" s="86" t="s">
        <v>1348</v>
      </c>
      <c r="I22" s="40" t="s">
        <v>75</v>
      </c>
    </row>
    <row r="23">
      <c r="A23" s="77" t="s">
        <v>7</v>
      </c>
      <c r="B23" s="74" t="s">
        <v>156</v>
      </c>
      <c r="C23" s="78">
        <v>46.0</v>
      </c>
      <c r="D23" s="80" t="b">
        <v>1</v>
      </c>
      <c r="E23" s="89">
        <v>1.617483803E9</v>
      </c>
      <c r="F23" s="66">
        <f>IFERROR(__xludf.DUMMYFUNCTION("INDEX(SPLIT(E23, char(10)), 0, 1)/86400+date(1970,1,1)"),44289.87734953704)</f>
        <v>44289.87735</v>
      </c>
      <c r="G23" s="86" t="s">
        <v>1349</v>
      </c>
      <c r="H23" s="86" t="s">
        <v>1350</v>
      </c>
      <c r="I23" s="40" t="s">
        <v>17</v>
      </c>
    </row>
    <row r="24">
      <c r="A24" s="77" t="s">
        <v>6</v>
      </c>
      <c r="B24" s="40" t="s">
        <v>1351</v>
      </c>
      <c r="C24" s="40">
        <v>62.0</v>
      </c>
      <c r="D24" s="80" t="b">
        <v>0</v>
      </c>
      <c r="E24" s="89">
        <v>1.617484096E9</v>
      </c>
      <c r="F24" s="66">
        <f>IFERROR(__xludf.DUMMYFUNCTION("INDEX(SPLIT(E24, char(10)), 0, 1)/86400+date(1970,1,1)"),44289.880740740744)</f>
        <v>44289.88074</v>
      </c>
      <c r="G24" s="86" t="s">
        <v>1352</v>
      </c>
      <c r="H24" s="86" t="s">
        <v>1353</v>
      </c>
      <c r="I24" s="40" t="s">
        <v>75</v>
      </c>
    </row>
    <row r="25">
      <c r="A25" s="77" t="s">
        <v>128</v>
      </c>
      <c r="B25" s="40" t="s">
        <v>1354</v>
      </c>
      <c r="C25" s="40">
        <v>63.0</v>
      </c>
      <c r="D25" s="80" t="b">
        <v>1</v>
      </c>
      <c r="E25" s="89">
        <v>1.617484211E9</v>
      </c>
      <c r="F25" s="66">
        <f>IFERROR(__xludf.DUMMYFUNCTION("INDEX(SPLIT(E25, char(10)), 0, 1)/86400+date(1970,1,1)"),44289.88207175926)</f>
        <v>44289.88207</v>
      </c>
      <c r="G25" s="86" t="s">
        <v>1355</v>
      </c>
      <c r="H25" s="86" t="s">
        <v>1356</v>
      </c>
      <c r="I25" s="40" t="s">
        <v>15</v>
      </c>
    </row>
    <row r="26">
      <c r="A26" s="68" t="s">
        <v>8</v>
      </c>
      <c r="B26" s="68" t="s">
        <v>1357</v>
      </c>
      <c r="C26" s="94">
        <v>68.0</v>
      </c>
      <c r="D26" s="80" t="b">
        <v>0</v>
      </c>
      <c r="E26" s="89">
        <v>1.617484422E9</v>
      </c>
      <c r="F26" s="66">
        <f>IFERROR(__xludf.DUMMYFUNCTION("INDEX(SPLIT(E26, char(10)), 0, 1)/86400+date(1970,1,1)"),44289.88451388889)</f>
        <v>44289.88451</v>
      </c>
      <c r="G26" s="86" t="s">
        <v>1358</v>
      </c>
      <c r="H26" s="86" t="s">
        <v>1359</v>
      </c>
      <c r="I26" s="40" t="s">
        <v>17</v>
      </c>
    </row>
    <row r="27">
      <c r="A27" s="77" t="s">
        <v>6</v>
      </c>
      <c r="B27" s="68" t="s">
        <v>1360</v>
      </c>
      <c r="C27" s="94">
        <v>71.0</v>
      </c>
      <c r="D27" s="80" t="b">
        <v>0</v>
      </c>
      <c r="E27" s="89">
        <v>1.617484604E9</v>
      </c>
      <c r="F27" s="66">
        <f>IFERROR(__xludf.DUMMYFUNCTION("INDEX(SPLIT(E27, char(10)), 0, 1)/86400+date(1970,1,1)"),44289.886620370366)</f>
        <v>44289.88662</v>
      </c>
      <c r="G27" s="86" t="s">
        <v>1361</v>
      </c>
      <c r="H27" s="86" t="s">
        <v>1362</v>
      </c>
      <c r="I27" s="40" t="s">
        <v>17</v>
      </c>
    </row>
    <row r="28">
      <c r="A28" s="68" t="s">
        <v>8</v>
      </c>
      <c r="B28" s="68" t="s">
        <v>1363</v>
      </c>
      <c r="C28" s="94">
        <v>76.0</v>
      </c>
      <c r="D28" s="80" t="b">
        <v>0</v>
      </c>
      <c r="E28" s="89">
        <v>1.617484824E9</v>
      </c>
      <c r="F28" s="66">
        <f>IFERROR(__xludf.DUMMYFUNCTION("INDEX(SPLIT(E28, char(10)), 0, 1)/86400+date(1970,1,1)"),44289.88916666667)</f>
        <v>44289.88917</v>
      </c>
      <c r="G28" s="86" t="s">
        <v>1364</v>
      </c>
      <c r="H28" s="86" t="s">
        <v>1365</v>
      </c>
      <c r="I28" s="40" t="s">
        <v>75</v>
      </c>
    </row>
    <row r="29">
      <c r="A29" s="68" t="s">
        <v>8</v>
      </c>
      <c r="B29" s="68" t="s">
        <v>1366</v>
      </c>
      <c r="C29" s="94">
        <v>76.0</v>
      </c>
      <c r="D29" s="80" t="b">
        <v>0</v>
      </c>
      <c r="E29" s="89">
        <v>1.617484934E9</v>
      </c>
      <c r="F29" s="66">
        <f>IFERROR(__xludf.DUMMYFUNCTION("INDEX(SPLIT(E29, char(10)), 0, 1)/86400+date(1970,1,1)"),44289.890439814815)</f>
        <v>44289.89044</v>
      </c>
      <c r="G29" s="86" t="s">
        <v>1367</v>
      </c>
      <c r="H29" s="86" t="s">
        <v>1368</v>
      </c>
      <c r="I29" s="40" t="s">
        <v>15</v>
      </c>
    </row>
    <row r="30">
      <c r="A30" s="68" t="s">
        <v>8</v>
      </c>
      <c r="B30" s="68" t="s">
        <v>1369</v>
      </c>
      <c r="C30" s="94">
        <v>85.0</v>
      </c>
      <c r="D30" s="80" t="b">
        <v>0</v>
      </c>
      <c r="E30" s="89">
        <v>1.61748506E9</v>
      </c>
      <c r="F30" s="66">
        <f>IFERROR(__xludf.DUMMYFUNCTION("INDEX(SPLIT(E30, char(10)), 0, 1)/86400+date(1970,1,1)"),44289.89189814815)</f>
        <v>44289.8919</v>
      </c>
      <c r="G30" s="86" t="s">
        <v>1370</v>
      </c>
      <c r="H30" s="86" t="s">
        <v>1371</v>
      </c>
      <c r="I30" s="40" t="s">
        <v>75</v>
      </c>
    </row>
    <row r="31">
      <c r="A31" s="68" t="s">
        <v>8</v>
      </c>
      <c r="B31" s="68" t="s">
        <v>1372</v>
      </c>
      <c r="C31" s="94">
        <v>89.0</v>
      </c>
      <c r="D31" s="80" t="b">
        <v>0</v>
      </c>
      <c r="E31" s="89">
        <v>1.617485205E9</v>
      </c>
      <c r="F31" s="66">
        <f>IFERROR(__xludf.DUMMYFUNCTION("INDEX(SPLIT(E31, char(10)), 0, 1)/86400+date(1970,1,1)"),44289.89357638889)</f>
        <v>44289.89358</v>
      </c>
      <c r="G31" s="86" t="s">
        <v>1373</v>
      </c>
      <c r="H31" s="86" t="s">
        <v>1374</v>
      </c>
      <c r="I31" s="40" t="s">
        <v>16</v>
      </c>
    </row>
    <row r="32">
      <c r="A32" s="68" t="s">
        <v>8</v>
      </c>
      <c r="B32" s="68" t="s">
        <v>1375</v>
      </c>
      <c r="C32" s="94">
        <v>89.0</v>
      </c>
      <c r="D32" s="80" t="b">
        <v>0</v>
      </c>
      <c r="E32" s="89">
        <v>1.617485413E9</v>
      </c>
      <c r="F32" s="66">
        <f>IFERROR(__xludf.DUMMYFUNCTION("INDEX(SPLIT(E32, char(10)), 0, 1)/86400+date(1970,1,1)"),44289.8959837963)</f>
        <v>44289.89598</v>
      </c>
      <c r="G32" s="86" t="s">
        <v>1376</v>
      </c>
      <c r="H32" s="86" t="s">
        <v>1377</v>
      </c>
      <c r="I32" s="40" t="s">
        <v>16</v>
      </c>
    </row>
    <row r="33">
      <c r="A33" s="68" t="s">
        <v>8</v>
      </c>
      <c r="B33" s="68" t="s">
        <v>1378</v>
      </c>
      <c r="C33" s="94">
        <v>93.0</v>
      </c>
      <c r="D33" s="80" t="b">
        <v>1</v>
      </c>
      <c r="E33" s="89">
        <v>1.617485509E9</v>
      </c>
      <c r="F33" s="66">
        <f>IFERROR(__xludf.DUMMYFUNCTION("INDEX(SPLIT(E33, char(10)), 0, 1)/86400+date(1970,1,1)"),44289.89709490741)</f>
        <v>44289.89709</v>
      </c>
      <c r="G33" s="86" t="s">
        <v>1379</v>
      </c>
      <c r="H33" s="86" t="s">
        <v>1380</v>
      </c>
      <c r="I33" s="40" t="s">
        <v>17</v>
      </c>
    </row>
    <row r="34">
      <c r="A34" s="68" t="s">
        <v>8</v>
      </c>
      <c r="B34" s="68" t="s">
        <v>1381</v>
      </c>
      <c r="C34" s="94">
        <v>93.0</v>
      </c>
      <c r="D34" s="80" t="b">
        <v>0</v>
      </c>
      <c r="F34" s="66"/>
      <c r="G34" s="86"/>
      <c r="H34" s="86"/>
      <c r="I34" s="41"/>
    </row>
    <row r="35">
      <c r="A35" s="77" t="s">
        <v>7</v>
      </c>
      <c r="B35" s="74" t="s">
        <v>181</v>
      </c>
      <c r="C35" s="78">
        <v>90.0</v>
      </c>
      <c r="D35" s="80" t="b">
        <v>1</v>
      </c>
      <c r="F35" s="66"/>
      <c r="G35" s="86"/>
      <c r="H35" s="86"/>
      <c r="I35" s="41"/>
    </row>
    <row r="36">
      <c r="A36" s="77"/>
      <c r="B36" s="74"/>
      <c r="C36" s="78"/>
      <c r="D36" s="80"/>
      <c r="F36" s="66"/>
      <c r="G36" s="86"/>
      <c r="H36" s="86"/>
      <c r="I36" s="41"/>
    </row>
    <row r="37">
      <c r="A37" s="77"/>
      <c r="B37" s="74"/>
      <c r="C37" s="78"/>
      <c r="D37" s="80"/>
      <c r="F37" s="66"/>
      <c r="G37" s="86"/>
      <c r="H37" s="86"/>
      <c r="I37" s="41"/>
    </row>
    <row r="38">
      <c r="A38" s="68"/>
      <c r="B38" s="68"/>
      <c r="C38" s="94"/>
      <c r="D38" s="80"/>
      <c r="F38" s="66"/>
      <c r="G38" s="86"/>
      <c r="H38" s="86"/>
      <c r="I38" s="41"/>
    </row>
    <row r="39">
      <c r="A39" s="68"/>
      <c r="B39" s="68"/>
      <c r="C39" s="94"/>
      <c r="D39" s="80"/>
      <c r="F39" s="66"/>
      <c r="G39" s="86"/>
      <c r="H39" s="86"/>
      <c r="I39" s="41"/>
    </row>
    <row r="40">
      <c r="A40" s="68"/>
      <c r="B40" s="68"/>
      <c r="C40" s="94"/>
      <c r="D40" s="80"/>
      <c r="F40" s="66"/>
      <c r="G40" s="86"/>
      <c r="H40" s="86"/>
      <c r="I40" s="41"/>
    </row>
    <row r="41">
      <c r="A41" s="68"/>
      <c r="B41" s="68"/>
      <c r="C41" s="94"/>
      <c r="D41" s="80"/>
      <c r="F41" s="66"/>
      <c r="G41" s="86"/>
      <c r="H41" s="86"/>
      <c r="I41" s="41"/>
    </row>
    <row r="42">
      <c r="A42" s="68"/>
      <c r="B42" s="68"/>
      <c r="C42" s="94"/>
      <c r="D42" s="80"/>
      <c r="F42" s="66"/>
      <c r="G42" s="86"/>
      <c r="H42" s="86"/>
      <c r="I42" s="41"/>
    </row>
    <row r="43">
      <c r="F43" s="66"/>
      <c r="G43" s="86"/>
      <c r="H43" s="86"/>
      <c r="I43" s="41"/>
    </row>
    <row r="44">
      <c r="F44" s="66"/>
      <c r="G44" s="86"/>
      <c r="H44" s="86"/>
      <c r="I44" s="41"/>
    </row>
    <row r="45">
      <c r="F45" s="66"/>
      <c r="G45" s="83"/>
      <c r="H45" s="86"/>
      <c r="I45" s="41"/>
    </row>
    <row r="46">
      <c r="F46" s="66"/>
      <c r="G46" s="83"/>
      <c r="H46" s="86"/>
      <c r="I46" s="41"/>
    </row>
    <row r="47">
      <c r="F47" s="66"/>
      <c r="G47" s="83"/>
      <c r="H47" s="86"/>
      <c r="I47" s="41"/>
    </row>
    <row r="48">
      <c r="F48" s="66"/>
      <c r="G48" s="83"/>
      <c r="H48" s="86"/>
      <c r="I48" s="41"/>
    </row>
    <row r="49">
      <c r="F49" s="66"/>
      <c r="G49" s="83"/>
      <c r="H49" s="86"/>
      <c r="I49" s="41"/>
    </row>
    <row r="50">
      <c r="F50" s="66"/>
      <c r="G50" s="83"/>
      <c r="H50" s="86"/>
      <c r="I50" s="41"/>
    </row>
    <row r="51">
      <c r="F51" s="66"/>
      <c r="G51" s="83"/>
      <c r="H51" s="86"/>
      <c r="I51" s="41"/>
    </row>
    <row r="52">
      <c r="F52" s="66"/>
      <c r="G52" s="85"/>
      <c r="H52" s="86"/>
    </row>
    <row r="53">
      <c r="F53" s="66"/>
      <c r="G53" s="85"/>
      <c r="H53" s="86"/>
    </row>
    <row r="54">
      <c r="F54" s="66"/>
      <c r="G54" s="85"/>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0.06896551724</v>
      </c>
      <c r="E2" s="89">
        <v>1.61807057E9</v>
      </c>
      <c r="F2" s="66">
        <f>IFERROR(__xludf.DUMMYFUNCTION("INDEX(SPLIT(E2, char(10)), 0, 1)/86400+date(1970,1,1)"),44296.66863425926)</f>
        <v>44296.66863</v>
      </c>
      <c r="G2" s="86" t="s">
        <v>1382</v>
      </c>
      <c r="H2" s="86" t="s">
        <v>1383</v>
      </c>
      <c r="I2" s="40" t="s">
        <v>16</v>
      </c>
      <c r="J2" s="40"/>
    </row>
    <row r="3">
      <c r="A3" s="40" t="s">
        <v>14</v>
      </c>
      <c r="B3" s="40" t="s">
        <v>99</v>
      </c>
      <c r="C3" s="40">
        <f t="shared" si="1"/>
        <v>2</v>
      </c>
      <c r="D3" s="64">
        <f t="shared" si="2"/>
        <v>0.06896551724</v>
      </c>
      <c r="E3" s="89">
        <v>1.618070897E9</v>
      </c>
      <c r="F3" s="66">
        <f>IFERROR(__xludf.DUMMYFUNCTION("INDEX(SPLIT(E3, char(10)), 0, 1)/86400+date(1970,1,1)"),44296.672418981485)</f>
        <v>44296.67242</v>
      </c>
      <c r="G3" s="86" t="s">
        <v>1384</v>
      </c>
      <c r="H3" s="86" t="s">
        <v>1385</v>
      </c>
      <c r="I3" s="40" t="s">
        <v>17</v>
      </c>
      <c r="J3" s="40"/>
    </row>
    <row r="4">
      <c r="A4" s="40" t="s">
        <v>15</v>
      </c>
      <c r="B4" s="40" t="s">
        <v>102</v>
      </c>
      <c r="C4" s="40">
        <f t="shared" si="1"/>
        <v>4</v>
      </c>
      <c r="D4" s="64">
        <f t="shared" si="2"/>
        <v>0.1379310345</v>
      </c>
      <c r="E4" s="89">
        <v>1.618071008E9</v>
      </c>
      <c r="F4" s="66">
        <f>IFERROR(__xludf.DUMMYFUNCTION("INDEX(SPLIT(E4, char(10)), 0, 1)/86400+date(1970,1,1)"),44296.6737037037)</f>
        <v>44296.6737</v>
      </c>
      <c r="G4" s="86" t="s">
        <v>1386</v>
      </c>
      <c r="H4" s="86" t="s">
        <v>1387</v>
      </c>
      <c r="I4" s="40" t="s">
        <v>16</v>
      </c>
      <c r="J4" s="40"/>
    </row>
    <row r="5">
      <c r="A5" s="40" t="s">
        <v>16</v>
      </c>
      <c r="B5" s="40" t="s">
        <v>105</v>
      </c>
      <c r="C5" s="40">
        <f t="shared" si="1"/>
        <v>14</v>
      </c>
      <c r="D5" s="64">
        <f t="shared" si="2"/>
        <v>0.4827586207</v>
      </c>
      <c r="E5" s="89">
        <v>1.618071249E9</v>
      </c>
      <c r="F5" s="66">
        <f>IFERROR(__xludf.DUMMYFUNCTION("INDEX(SPLIT(E5, char(10)), 0, 1)/86400+date(1970,1,1)"),44296.67649305555)</f>
        <v>44296.67649</v>
      </c>
      <c r="G5" s="86" t="s">
        <v>1388</v>
      </c>
      <c r="H5" s="86" t="s">
        <v>1389</v>
      </c>
      <c r="I5" s="40" t="s">
        <v>17</v>
      </c>
      <c r="J5" s="40"/>
    </row>
    <row r="6">
      <c r="A6" s="40" t="s">
        <v>17</v>
      </c>
      <c r="B6" s="40" t="s">
        <v>108</v>
      </c>
      <c r="C6" s="40">
        <f t="shared" si="1"/>
        <v>7</v>
      </c>
      <c r="D6" s="64">
        <f t="shared" si="2"/>
        <v>0.2413793103</v>
      </c>
      <c r="E6" s="89">
        <v>1.618071705E9</v>
      </c>
      <c r="F6" s="66">
        <f>IFERROR(__xludf.DUMMYFUNCTION("INDEX(SPLIT(E6, char(10)), 0, 1)/86400+date(1970,1,1)"),44296.68177083333)</f>
        <v>44296.68177</v>
      </c>
      <c r="G6" s="86" t="s">
        <v>1390</v>
      </c>
      <c r="H6" s="86" t="s">
        <v>1391</v>
      </c>
      <c r="I6" s="40" t="s">
        <v>17</v>
      </c>
    </row>
    <row r="7">
      <c r="B7" s="40" t="s">
        <v>13</v>
      </c>
      <c r="C7" s="69">
        <f t="shared" ref="C7:D7" si="3">SUM(C2:C6)</f>
        <v>29</v>
      </c>
      <c r="D7" s="70">
        <f t="shared" si="3"/>
        <v>1</v>
      </c>
      <c r="E7" s="89">
        <v>1.618071876E9</v>
      </c>
      <c r="F7" s="66">
        <f>IFERROR(__xludf.DUMMYFUNCTION("INDEX(SPLIT(E7, char(10)), 0, 1)/86400+date(1970,1,1)"),44296.68375)</f>
        <v>44296.68375</v>
      </c>
      <c r="G7" s="86" t="s">
        <v>1392</v>
      </c>
      <c r="H7" s="86" t="s">
        <v>1393</v>
      </c>
      <c r="I7" s="40" t="s">
        <v>75</v>
      </c>
    </row>
    <row r="8">
      <c r="A8" s="71"/>
      <c r="B8" s="40" t="s">
        <v>18</v>
      </c>
      <c r="C8" s="57">
        <f t="shared" ref="C8:D8" si="4">SUM(C5:C6)</f>
        <v>21</v>
      </c>
      <c r="D8" s="14">
        <f t="shared" si="4"/>
        <v>0.724137931</v>
      </c>
      <c r="E8" s="89">
        <v>1.618072019E9</v>
      </c>
      <c r="F8" s="66">
        <f>IFERROR(__xludf.DUMMYFUNCTION("INDEX(SPLIT(E8, char(10)), 0, 1)/86400+date(1970,1,1)"),44296.68540509259)</f>
        <v>44296.68541</v>
      </c>
      <c r="G8" s="86" t="s">
        <v>1394</v>
      </c>
      <c r="H8" s="86" t="s">
        <v>1395</v>
      </c>
      <c r="I8" s="40" t="s">
        <v>15</v>
      </c>
    </row>
    <row r="9">
      <c r="A9" s="71"/>
      <c r="B9" s="40" t="s">
        <v>47</v>
      </c>
      <c r="C9" s="57">
        <f>SUM(C6:C7)</f>
        <v>36</v>
      </c>
      <c r="D9" s="14">
        <f>SUM(D5:D6) + D2</f>
        <v>0.7931034483</v>
      </c>
      <c r="E9" s="89">
        <v>1.618073131E9</v>
      </c>
      <c r="F9" s="66">
        <f>IFERROR(__xludf.DUMMYFUNCTION("INDEX(SPLIT(E9, char(10)), 0, 1)/86400+date(1970,1,1)"),44296.698275462964)</f>
        <v>44296.69828</v>
      </c>
      <c r="G9" s="86" t="s">
        <v>1396</v>
      </c>
      <c r="H9" s="86" t="s">
        <v>1397</v>
      </c>
      <c r="I9" s="40" t="s">
        <v>16</v>
      </c>
    </row>
    <row r="10">
      <c r="A10" s="71"/>
      <c r="B10" s="71"/>
      <c r="C10" s="71"/>
      <c r="D10" s="71"/>
      <c r="E10" s="89">
        <v>1.618073236E9</v>
      </c>
      <c r="F10" s="66">
        <f>IFERROR(__xludf.DUMMYFUNCTION("INDEX(SPLIT(E10, char(10)), 0, 1)/86400+date(1970,1,1)"),44296.69949074074)</f>
        <v>44296.69949</v>
      </c>
      <c r="G10" s="86" t="s">
        <v>1398</v>
      </c>
      <c r="H10" s="86" t="s">
        <v>1399</v>
      </c>
      <c r="I10" s="40" t="s">
        <v>16</v>
      </c>
    </row>
    <row r="11">
      <c r="A11" s="71"/>
      <c r="B11" s="71"/>
      <c r="C11" s="71"/>
      <c r="D11" s="71"/>
      <c r="E11" s="89">
        <v>1.618073344E9</v>
      </c>
      <c r="F11" s="66">
        <f>IFERROR(__xludf.DUMMYFUNCTION("INDEX(SPLIT(E11, char(10)), 0, 1)/86400+date(1970,1,1)"),44296.70074074074)</f>
        <v>44296.70074</v>
      </c>
      <c r="G11" s="86" t="s">
        <v>1400</v>
      </c>
      <c r="H11" s="86" t="s">
        <v>1401</v>
      </c>
      <c r="I11" s="40" t="s">
        <v>17</v>
      </c>
    </row>
    <row r="12">
      <c r="A12" s="72" t="s">
        <v>121</v>
      </c>
      <c r="B12" s="90" t="s">
        <v>1402</v>
      </c>
      <c r="C12" s="71"/>
      <c r="D12" s="74"/>
      <c r="E12" s="89">
        <v>1.618073502E9</v>
      </c>
      <c r="F12" s="66">
        <f>IFERROR(__xludf.DUMMYFUNCTION("INDEX(SPLIT(E12, char(10)), 0, 1)/86400+date(1970,1,1)"),44296.702569444446)</f>
        <v>44296.70257</v>
      </c>
      <c r="G12" s="86" t="s">
        <v>1403</v>
      </c>
      <c r="H12" s="86" t="s">
        <v>1404</v>
      </c>
      <c r="I12" s="40" t="s">
        <v>17</v>
      </c>
    </row>
    <row r="13">
      <c r="A13" s="72" t="s">
        <v>125</v>
      </c>
      <c r="B13" s="74"/>
      <c r="C13" s="72" t="s">
        <v>89</v>
      </c>
      <c r="D13" s="72" t="s">
        <v>90</v>
      </c>
      <c r="E13" s="89">
        <v>1.618073739E9</v>
      </c>
      <c r="F13" s="66">
        <f>IFERROR(__xludf.DUMMYFUNCTION("INDEX(SPLIT(E13, char(10)), 0, 1)/86400+date(1970,1,1)"),44296.705312499995)</f>
        <v>44296.70531</v>
      </c>
      <c r="G13" s="86" t="s">
        <v>1405</v>
      </c>
      <c r="H13" s="86" t="s">
        <v>1406</v>
      </c>
      <c r="I13" s="40" t="s">
        <v>15</v>
      </c>
    </row>
    <row r="14">
      <c r="A14" s="5" t="s">
        <v>128</v>
      </c>
      <c r="B14" s="5" t="s">
        <v>129</v>
      </c>
      <c r="C14" s="75">
        <f t="shared" ref="C14:C17" si="5">COUNTIF($A$19:$A1000, A14)</f>
        <v>4</v>
      </c>
      <c r="D14" s="76">
        <f>IFERROR(__xludf.DUMMYFUNCTION("IF(C14, COUNTIF(FILTER($D$19:$D1000, $A$19:$A1000=A14), TRUE)/C14, 0)"),1.0)</f>
        <v>1</v>
      </c>
      <c r="E14" s="89">
        <v>1.618074293E9</v>
      </c>
      <c r="F14" s="66">
        <f>IFERROR(__xludf.DUMMYFUNCTION("INDEX(SPLIT(E14, char(10)), 0, 1)/86400+date(1970,1,1)"),44296.71172453703)</f>
        <v>44296.71172</v>
      </c>
      <c r="G14" s="86" t="s">
        <v>327</v>
      </c>
      <c r="H14" s="86" t="s">
        <v>1407</v>
      </c>
      <c r="I14" s="40" t="s">
        <v>16</v>
      </c>
    </row>
    <row r="15">
      <c r="A15" s="5" t="s">
        <v>6</v>
      </c>
      <c r="B15" s="5" t="s">
        <v>132</v>
      </c>
      <c r="C15" s="75">
        <f t="shared" si="5"/>
        <v>9</v>
      </c>
      <c r="D15" s="76">
        <f>IFERROR(__xludf.DUMMYFUNCTION("IF(C15, COUNTIF(FILTER($D$19:$D1000, $A$19:$A1000=A15), TRUE)/C15, 0)"),0.4444444444444444)</f>
        <v>0.4444444444</v>
      </c>
      <c r="E15" s="89">
        <v>1.618074495E9</v>
      </c>
      <c r="F15" s="66">
        <f>IFERROR(__xludf.DUMMYFUNCTION("INDEX(SPLIT(E15, char(10)), 0, 1)/86400+date(1970,1,1)"),44296.7140625)</f>
        <v>44296.71406</v>
      </c>
      <c r="G15" s="86" t="s">
        <v>1408</v>
      </c>
      <c r="H15" s="86" t="s">
        <v>1409</v>
      </c>
      <c r="I15" s="40" t="s">
        <v>15</v>
      </c>
    </row>
    <row r="16">
      <c r="A16" s="5" t="s">
        <v>7</v>
      </c>
      <c r="B16" s="5" t="s">
        <v>135</v>
      </c>
      <c r="C16" s="75">
        <f t="shared" si="5"/>
        <v>4</v>
      </c>
      <c r="D16" s="76">
        <f>IFERROR(__xludf.DUMMYFUNCTION("IF(C16, COUNTIF(FILTER($D$19:$D1000, $A$19:$A1000=A16), TRUE)/C16, 0)"),1.0)</f>
        <v>1</v>
      </c>
      <c r="E16" s="89">
        <v>1.618074636E9</v>
      </c>
      <c r="F16" s="66">
        <f>IFERROR(__xludf.DUMMYFUNCTION("INDEX(SPLIT(E16, char(10)), 0, 1)/86400+date(1970,1,1)"),44296.71569444444)</f>
        <v>44296.71569</v>
      </c>
      <c r="G16" s="86" t="s">
        <v>1410</v>
      </c>
      <c r="H16" s="86" t="s">
        <v>1411</v>
      </c>
      <c r="I16" s="40" t="s">
        <v>17</v>
      </c>
    </row>
    <row r="17">
      <c r="A17" s="5" t="s">
        <v>8</v>
      </c>
      <c r="B17" s="5" t="s">
        <v>79</v>
      </c>
      <c r="C17" s="75">
        <f t="shared" si="5"/>
        <v>9</v>
      </c>
      <c r="D17" s="76">
        <f>IFERROR(__xludf.DUMMYFUNCTION("IF(C17, COUNTIF(FILTER($D$19:$D1000, $A$19:$A1000=A17), TRUE)/C17, 0)"),0.3333333333333333)</f>
        <v>0.3333333333</v>
      </c>
      <c r="E17" s="89">
        <v>1.618075217E9</v>
      </c>
      <c r="F17" s="66">
        <f>IFERROR(__xludf.DUMMYFUNCTION("INDEX(SPLIT(E17, char(10)), 0, 1)/86400+date(1970,1,1)"),44296.72241898148)</f>
        <v>44296.72242</v>
      </c>
      <c r="G17" s="86" t="s">
        <v>1412</v>
      </c>
      <c r="H17" s="86" t="s">
        <v>1413</v>
      </c>
      <c r="I17" s="40" t="s">
        <v>16</v>
      </c>
    </row>
    <row r="18">
      <c r="A18" s="74"/>
      <c r="B18" s="72" t="s">
        <v>9</v>
      </c>
      <c r="C18" s="75">
        <f>SUM(C14:C17)</f>
        <v>26</v>
      </c>
      <c r="D18" s="76">
        <f>COUNTIF($D$19:$D1000, TRUE)/SUM($C$14:$C$17)</f>
        <v>0.5769230769</v>
      </c>
      <c r="E18" s="89">
        <v>1.618075585E9</v>
      </c>
      <c r="F18" s="66">
        <f>IFERROR(__xludf.DUMMYFUNCTION("INDEX(SPLIT(E18, char(10)), 0, 1)/86400+date(1970,1,1)"),44296.72667824074)</f>
        <v>44296.72668</v>
      </c>
      <c r="G18" s="86" t="s">
        <v>1414</v>
      </c>
      <c r="H18" s="86" t="s">
        <v>1415</v>
      </c>
      <c r="I18" s="40" t="s">
        <v>16</v>
      </c>
    </row>
    <row r="19">
      <c r="A19" s="72" t="s">
        <v>95</v>
      </c>
      <c r="B19" s="72" t="s">
        <v>142</v>
      </c>
      <c r="C19" s="72" t="s">
        <v>143</v>
      </c>
      <c r="D19" s="72" t="s">
        <v>144</v>
      </c>
      <c r="E19" s="89">
        <v>1.618075729E9</v>
      </c>
      <c r="F19" s="66">
        <f>IFERROR(__xludf.DUMMYFUNCTION("INDEX(SPLIT(E19, char(10)), 0, 1)/86400+date(1970,1,1)"),44296.7283449074)</f>
        <v>44296.72834</v>
      </c>
      <c r="G19" s="86" t="s">
        <v>1416</v>
      </c>
      <c r="H19" s="86" t="s">
        <v>1417</v>
      </c>
      <c r="I19" s="40" t="s">
        <v>75</v>
      </c>
    </row>
    <row r="20">
      <c r="A20" s="77" t="s">
        <v>7</v>
      </c>
      <c r="B20" s="77" t="s">
        <v>147</v>
      </c>
      <c r="C20" s="78">
        <v>1.0</v>
      </c>
      <c r="D20" s="80" t="b">
        <v>1</v>
      </c>
      <c r="E20" s="89">
        <v>1.618075904E9</v>
      </c>
      <c r="F20" s="66">
        <f>IFERROR(__xludf.DUMMYFUNCTION("INDEX(SPLIT(E20, char(10)), 0, 1)/86400+date(1970,1,1)"),44296.730370370366)</f>
        <v>44296.73037</v>
      </c>
      <c r="G20" s="86" t="s">
        <v>1418</v>
      </c>
      <c r="H20" s="86" t="s">
        <v>1419</v>
      </c>
      <c r="I20" s="40" t="s">
        <v>16</v>
      </c>
    </row>
    <row r="21">
      <c r="A21" s="68" t="s">
        <v>128</v>
      </c>
      <c r="B21" s="40" t="s">
        <v>1420</v>
      </c>
      <c r="C21" s="40">
        <v>8.0</v>
      </c>
      <c r="D21" s="80" t="b">
        <v>1</v>
      </c>
      <c r="E21" s="89">
        <v>1.61807615E9</v>
      </c>
      <c r="F21" s="66">
        <f>IFERROR(__xludf.DUMMYFUNCTION("INDEX(SPLIT(E21, char(10)), 0, 1)/86400+date(1970,1,1)"),44296.73321759259)</f>
        <v>44296.73322</v>
      </c>
      <c r="G21" s="86" t="s">
        <v>1421</v>
      </c>
      <c r="H21" s="86" t="s">
        <v>1422</v>
      </c>
      <c r="I21" s="40" t="s">
        <v>14</v>
      </c>
    </row>
    <row r="22">
      <c r="A22" s="68" t="s">
        <v>6</v>
      </c>
      <c r="B22" s="68" t="s">
        <v>1423</v>
      </c>
      <c r="C22" s="94">
        <v>10.0</v>
      </c>
      <c r="D22" s="80" t="b">
        <v>0</v>
      </c>
      <c r="E22" s="89">
        <v>1.618076274E9</v>
      </c>
      <c r="F22" s="66">
        <f>IFERROR(__xludf.DUMMYFUNCTION("INDEX(SPLIT(E22, char(10)), 0, 1)/86400+date(1970,1,1)"),44296.73465277778)</f>
        <v>44296.73465</v>
      </c>
      <c r="G22" s="86" t="s">
        <v>1424</v>
      </c>
      <c r="H22" s="86" t="s">
        <v>1425</v>
      </c>
      <c r="I22" s="40" t="s">
        <v>16</v>
      </c>
    </row>
    <row r="23">
      <c r="A23" s="68" t="s">
        <v>6</v>
      </c>
      <c r="B23" s="68" t="s">
        <v>1426</v>
      </c>
      <c r="C23" s="94">
        <v>24.0</v>
      </c>
      <c r="D23" s="80" t="b">
        <v>0</v>
      </c>
      <c r="E23" s="89">
        <v>1.618076383E9</v>
      </c>
      <c r="F23" s="66">
        <f>IFERROR(__xludf.DUMMYFUNCTION("INDEX(SPLIT(E23, char(10)), 0, 1)/86400+date(1970,1,1)"),44296.735914351855)</f>
        <v>44296.73591</v>
      </c>
      <c r="G23" s="86" t="s">
        <v>1427</v>
      </c>
      <c r="H23" s="86" t="s">
        <v>1428</v>
      </c>
      <c r="I23" s="40" t="s">
        <v>16</v>
      </c>
    </row>
    <row r="24">
      <c r="A24" s="68" t="s">
        <v>6</v>
      </c>
      <c r="B24" s="68" t="s">
        <v>1429</v>
      </c>
      <c r="C24" s="94">
        <v>37.0</v>
      </c>
      <c r="D24" s="80" t="b">
        <v>0</v>
      </c>
      <c r="E24" s="89">
        <v>1.618076477E9</v>
      </c>
      <c r="F24" s="66">
        <f>IFERROR(__xludf.DUMMYFUNCTION("INDEX(SPLIT(E24, char(10)), 0, 1)/86400+date(1970,1,1)"),44296.73700231481)</f>
        <v>44296.737</v>
      </c>
      <c r="G24" s="86" t="s">
        <v>1430</v>
      </c>
      <c r="H24" s="86" t="s">
        <v>1431</v>
      </c>
      <c r="I24" s="40" t="s">
        <v>17</v>
      </c>
    </row>
    <row r="25">
      <c r="A25" s="68" t="s">
        <v>6</v>
      </c>
      <c r="B25" s="40" t="s">
        <v>1432</v>
      </c>
      <c r="C25" s="40">
        <v>38.0</v>
      </c>
      <c r="D25" s="80" t="b">
        <v>0</v>
      </c>
      <c r="E25" s="89">
        <v>1.618076662E9</v>
      </c>
      <c r="F25" s="66">
        <f>IFERROR(__xludf.DUMMYFUNCTION("INDEX(SPLIT(E25, char(10)), 0, 1)/86400+date(1970,1,1)"),44296.73914351852)</f>
        <v>44296.73914</v>
      </c>
      <c r="G25" s="86" t="s">
        <v>1433</v>
      </c>
      <c r="H25" s="86" t="s">
        <v>1434</v>
      </c>
      <c r="I25" s="40" t="s">
        <v>14</v>
      </c>
    </row>
    <row r="26">
      <c r="A26" s="68" t="s">
        <v>128</v>
      </c>
      <c r="B26" s="40" t="s">
        <v>1435</v>
      </c>
      <c r="C26" s="40">
        <v>44.0</v>
      </c>
      <c r="D26" s="80" t="b">
        <v>1</v>
      </c>
      <c r="E26" s="89">
        <v>1.618076826E9</v>
      </c>
      <c r="F26" s="66">
        <f>IFERROR(__xludf.DUMMYFUNCTION("INDEX(SPLIT(E26, char(10)), 0, 1)/86400+date(1970,1,1)"),44296.74104166667)</f>
        <v>44296.74104</v>
      </c>
      <c r="G26" s="86" t="s">
        <v>1436</v>
      </c>
      <c r="H26" s="86" t="s">
        <v>1437</v>
      </c>
      <c r="I26" s="40" t="s">
        <v>16</v>
      </c>
    </row>
    <row r="27">
      <c r="A27" s="5" t="s">
        <v>7</v>
      </c>
      <c r="B27" s="5" t="s">
        <v>153</v>
      </c>
      <c r="C27" s="78">
        <v>45.0</v>
      </c>
      <c r="D27" s="80" t="b">
        <v>1</v>
      </c>
      <c r="E27" s="89">
        <v>1.618077041E9</v>
      </c>
      <c r="F27" s="66">
        <f>IFERROR(__xludf.DUMMYFUNCTION("INDEX(SPLIT(E27, char(10)), 0, 1)/86400+date(1970,1,1)"),44296.74353009259)</f>
        <v>44296.74353</v>
      </c>
      <c r="G27" s="86" t="s">
        <v>1438</v>
      </c>
      <c r="H27" s="86" t="s">
        <v>1439</v>
      </c>
      <c r="I27" s="40" t="s">
        <v>16</v>
      </c>
    </row>
    <row r="28">
      <c r="A28" s="77" t="s">
        <v>7</v>
      </c>
      <c r="B28" s="74" t="s">
        <v>156</v>
      </c>
      <c r="C28" s="78">
        <v>46.0</v>
      </c>
      <c r="D28" s="80" t="b">
        <v>1</v>
      </c>
      <c r="E28" s="89">
        <v>1.618077177E9</v>
      </c>
      <c r="F28" s="66">
        <f>IFERROR(__xludf.DUMMYFUNCTION("INDEX(SPLIT(E28, char(10)), 0, 1)/86400+date(1970,1,1)"),44296.745104166665)</f>
        <v>44296.7451</v>
      </c>
      <c r="G28" s="86" t="s">
        <v>1440</v>
      </c>
      <c r="H28" s="86" t="s">
        <v>1441</v>
      </c>
      <c r="I28" s="40" t="s">
        <v>15</v>
      </c>
    </row>
    <row r="29">
      <c r="A29" s="68" t="s">
        <v>8</v>
      </c>
      <c r="B29" s="40" t="s">
        <v>1442</v>
      </c>
      <c r="C29" s="40">
        <v>46.0</v>
      </c>
      <c r="D29" s="80" t="b">
        <v>0</v>
      </c>
      <c r="E29" s="89">
        <v>1.618077305E9</v>
      </c>
      <c r="F29" s="66">
        <f>IFERROR(__xludf.DUMMYFUNCTION("INDEX(SPLIT(E29, char(10)), 0, 1)/86400+date(1970,1,1)"),44296.74658564814)</f>
        <v>44296.74659</v>
      </c>
      <c r="G29" s="86" t="s">
        <v>1443</v>
      </c>
      <c r="H29" s="86" t="s">
        <v>1444</v>
      </c>
      <c r="I29" s="40" t="s">
        <v>16</v>
      </c>
    </row>
    <row r="30">
      <c r="A30" s="77" t="s">
        <v>6</v>
      </c>
      <c r="B30" s="68" t="s">
        <v>1445</v>
      </c>
      <c r="C30" s="94">
        <v>60.0</v>
      </c>
      <c r="D30" s="80" t="b">
        <v>1</v>
      </c>
      <c r="E30" s="89">
        <v>1.618077415E9</v>
      </c>
      <c r="F30" s="66">
        <f>IFERROR(__xludf.DUMMYFUNCTION("INDEX(SPLIT(E30, char(10)), 0, 1)/86400+date(1970,1,1)"),44296.7478587963)</f>
        <v>44296.74786</v>
      </c>
      <c r="G30" s="86" t="s">
        <v>1446</v>
      </c>
      <c r="H30" s="86" t="s">
        <v>1447</v>
      </c>
      <c r="I30" s="40" t="s">
        <v>16</v>
      </c>
    </row>
    <row r="31">
      <c r="A31" s="68" t="s">
        <v>8</v>
      </c>
      <c r="B31" s="40" t="s">
        <v>1448</v>
      </c>
      <c r="C31" s="40">
        <v>61.0</v>
      </c>
      <c r="D31" s="80" t="b">
        <v>0</v>
      </c>
      <c r="F31" s="66"/>
      <c r="G31" s="86"/>
      <c r="H31" s="86"/>
      <c r="I31" s="41"/>
    </row>
    <row r="32">
      <c r="A32" s="68" t="s">
        <v>6</v>
      </c>
      <c r="B32" s="68" t="s">
        <v>1449</v>
      </c>
      <c r="C32" s="94">
        <v>63.0</v>
      </c>
      <c r="D32" s="80" t="b">
        <v>0</v>
      </c>
      <c r="F32" s="66"/>
      <c r="G32" s="86"/>
      <c r="H32" s="86"/>
      <c r="I32" s="41"/>
    </row>
    <row r="33">
      <c r="A33" s="77" t="s">
        <v>128</v>
      </c>
      <c r="B33" s="68" t="s">
        <v>1432</v>
      </c>
      <c r="C33" s="78">
        <v>66.0</v>
      </c>
      <c r="D33" s="80" t="b">
        <v>1</v>
      </c>
      <c r="F33" s="66"/>
      <c r="G33" s="86"/>
      <c r="H33" s="86"/>
      <c r="I33" s="41"/>
    </row>
    <row r="34">
      <c r="A34" s="68" t="s">
        <v>8</v>
      </c>
      <c r="B34" s="40" t="s">
        <v>1450</v>
      </c>
      <c r="C34" s="40">
        <v>72.0</v>
      </c>
      <c r="D34" s="80" t="b">
        <v>1</v>
      </c>
      <c r="F34" s="66"/>
      <c r="G34" s="86"/>
      <c r="H34" s="86"/>
      <c r="I34" s="41"/>
    </row>
    <row r="35">
      <c r="A35" s="68" t="s">
        <v>8</v>
      </c>
      <c r="B35" s="40" t="s">
        <v>1451</v>
      </c>
      <c r="C35" s="40">
        <v>72.0</v>
      </c>
      <c r="D35" s="80" t="b">
        <v>1</v>
      </c>
      <c r="F35" s="66"/>
      <c r="G35" s="86"/>
      <c r="H35" s="86"/>
      <c r="I35" s="41"/>
    </row>
    <row r="36">
      <c r="A36" s="68" t="s">
        <v>8</v>
      </c>
      <c r="B36" s="40" t="s">
        <v>1452</v>
      </c>
      <c r="C36" s="40">
        <v>74.0</v>
      </c>
      <c r="D36" s="80" t="b">
        <v>0</v>
      </c>
      <c r="F36" s="66"/>
      <c r="G36" s="86"/>
      <c r="H36" s="86"/>
      <c r="I36" s="41"/>
    </row>
    <row r="37">
      <c r="A37" s="68" t="s">
        <v>8</v>
      </c>
      <c r="B37" s="40" t="s">
        <v>1453</v>
      </c>
      <c r="C37" s="40">
        <v>77.0</v>
      </c>
      <c r="D37" s="80" t="b">
        <v>0</v>
      </c>
      <c r="F37" s="66"/>
      <c r="G37" s="86"/>
      <c r="H37" s="86"/>
      <c r="I37" s="41"/>
    </row>
    <row r="38">
      <c r="A38" s="68" t="s">
        <v>6</v>
      </c>
      <c r="B38" s="68" t="s">
        <v>1454</v>
      </c>
      <c r="C38" s="94">
        <v>78.0</v>
      </c>
      <c r="D38" s="80" t="b">
        <v>1</v>
      </c>
      <c r="F38" s="66"/>
      <c r="G38" s="86"/>
      <c r="H38" s="86"/>
      <c r="I38" s="41"/>
    </row>
    <row r="39">
      <c r="A39" s="68" t="s">
        <v>8</v>
      </c>
      <c r="B39" s="40" t="s">
        <v>1455</v>
      </c>
      <c r="C39" s="40">
        <v>78.0</v>
      </c>
      <c r="D39" s="80" t="b">
        <v>0</v>
      </c>
      <c r="F39" s="66"/>
      <c r="G39" s="86"/>
      <c r="H39" s="86"/>
      <c r="I39" s="41"/>
    </row>
    <row r="40">
      <c r="A40" s="68" t="s">
        <v>6</v>
      </c>
      <c r="B40" s="68" t="s">
        <v>1435</v>
      </c>
      <c r="C40" s="94">
        <v>81.0</v>
      </c>
      <c r="D40" s="80" t="b">
        <v>1</v>
      </c>
      <c r="F40" s="66"/>
      <c r="G40" s="86"/>
      <c r="H40" s="86"/>
      <c r="I40" s="41"/>
    </row>
    <row r="41">
      <c r="A41" s="68" t="s">
        <v>8</v>
      </c>
      <c r="B41" s="40" t="s">
        <v>1456</v>
      </c>
      <c r="C41" s="40">
        <v>84.0</v>
      </c>
      <c r="D41" s="80" t="b">
        <v>0</v>
      </c>
      <c r="F41" s="66"/>
      <c r="G41" s="86"/>
      <c r="H41" s="86"/>
      <c r="I41" s="41"/>
    </row>
    <row r="42">
      <c r="A42" s="68" t="s">
        <v>8</v>
      </c>
      <c r="B42" s="40" t="s">
        <v>1457</v>
      </c>
      <c r="C42" s="40">
        <v>85.0</v>
      </c>
      <c r="D42" s="80" t="b">
        <v>1</v>
      </c>
      <c r="F42" s="66"/>
      <c r="G42" s="86"/>
      <c r="H42" s="86"/>
      <c r="I42" s="41"/>
    </row>
    <row r="43">
      <c r="A43" s="68" t="s">
        <v>6</v>
      </c>
      <c r="B43" s="68" t="s">
        <v>1458</v>
      </c>
      <c r="C43" s="94">
        <v>90.0</v>
      </c>
      <c r="D43" s="80" t="b">
        <v>1</v>
      </c>
      <c r="F43" s="66"/>
      <c r="G43" s="86"/>
      <c r="H43" s="86"/>
      <c r="I43" s="41"/>
    </row>
    <row r="44">
      <c r="A44" s="68" t="s">
        <v>128</v>
      </c>
      <c r="B44" s="68" t="s">
        <v>1459</v>
      </c>
      <c r="C44" s="80">
        <v>94.0</v>
      </c>
      <c r="D44" s="80" t="b">
        <v>1</v>
      </c>
      <c r="F44" s="66"/>
      <c r="G44" s="86"/>
      <c r="H44" s="86"/>
      <c r="I44" s="41"/>
    </row>
    <row r="45">
      <c r="A45" s="77" t="s">
        <v>7</v>
      </c>
      <c r="B45" s="74" t="s">
        <v>181</v>
      </c>
      <c r="C45" s="78">
        <v>90.0</v>
      </c>
      <c r="D45" s="80" t="b">
        <v>1</v>
      </c>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5">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0.04761904762</v>
      </c>
      <c r="E2" s="89">
        <v>1.610569116E9</v>
      </c>
      <c r="F2" s="66">
        <f>IFERROR(__xludf.DUMMYFUNCTION("INDEX(SPLIT(E2, char(10)), 0, 1)/86400+date(1970,1,1)"),44209.84625)</f>
        <v>44209.84625</v>
      </c>
      <c r="G2" s="86" t="s">
        <v>1460</v>
      </c>
      <c r="H2" s="86" t="s">
        <v>1461</v>
      </c>
      <c r="I2" s="40" t="s">
        <v>17</v>
      </c>
      <c r="J2" s="40"/>
    </row>
    <row r="3">
      <c r="A3" s="40" t="s">
        <v>14</v>
      </c>
      <c r="B3" s="40" t="s">
        <v>99</v>
      </c>
      <c r="C3" s="40">
        <f t="shared" si="1"/>
        <v>6</v>
      </c>
      <c r="D3" s="64">
        <f t="shared" si="2"/>
        <v>0.2857142857</v>
      </c>
      <c r="E3" s="89">
        <v>1.610569638E9</v>
      </c>
      <c r="F3" s="66">
        <f>IFERROR(__xludf.DUMMYFUNCTION("INDEX(SPLIT(E3, char(10)), 0, 1)/86400+date(1970,1,1)"),44209.85229166667)</f>
        <v>44209.85229</v>
      </c>
      <c r="G3" s="86" t="s">
        <v>1462</v>
      </c>
      <c r="H3" s="86" t="s">
        <v>1463</v>
      </c>
      <c r="I3" s="40" t="s">
        <v>17</v>
      </c>
      <c r="J3" s="40"/>
    </row>
    <row r="4">
      <c r="A4" s="40" t="s">
        <v>15</v>
      </c>
      <c r="B4" s="40" t="s">
        <v>102</v>
      </c>
      <c r="C4" s="40">
        <f t="shared" si="1"/>
        <v>1</v>
      </c>
      <c r="D4" s="64">
        <f t="shared" si="2"/>
        <v>0.04761904762</v>
      </c>
      <c r="E4" s="89">
        <v>1.610569772E9</v>
      </c>
      <c r="F4" s="66">
        <f>IFERROR(__xludf.DUMMYFUNCTION("INDEX(SPLIT(E4, char(10)), 0, 1)/86400+date(1970,1,1)"),44209.853842592594)</f>
        <v>44209.85384</v>
      </c>
      <c r="G4" s="86" t="s">
        <v>1464</v>
      </c>
      <c r="H4" s="86" t="s">
        <v>1465</v>
      </c>
      <c r="I4" s="40" t="s">
        <v>16</v>
      </c>
      <c r="J4" s="40"/>
    </row>
    <row r="5">
      <c r="A5" s="40" t="s">
        <v>16</v>
      </c>
      <c r="B5" s="40" t="s">
        <v>105</v>
      </c>
      <c r="C5" s="40">
        <f t="shared" si="1"/>
        <v>9</v>
      </c>
      <c r="D5" s="64">
        <f t="shared" si="2"/>
        <v>0.4285714286</v>
      </c>
      <c r="E5" s="89">
        <v>1.6105704E9</v>
      </c>
      <c r="F5" s="66">
        <f>IFERROR(__xludf.DUMMYFUNCTION("INDEX(SPLIT(E5, char(10)), 0, 1)/86400+date(1970,1,1)"),44209.86111111111)</f>
        <v>44209.86111</v>
      </c>
      <c r="G5" s="86" t="s">
        <v>1466</v>
      </c>
      <c r="H5" s="86" t="s">
        <v>1467</v>
      </c>
      <c r="I5" s="40" t="s">
        <v>16</v>
      </c>
      <c r="J5" s="40"/>
    </row>
    <row r="6">
      <c r="A6" s="40" t="s">
        <v>17</v>
      </c>
      <c r="B6" s="40" t="s">
        <v>108</v>
      </c>
      <c r="C6" s="40">
        <f t="shared" si="1"/>
        <v>4</v>
      </c>
      <c r="D6" s="64">
        <f t="shared" si="2"/>
        <v>0.1904761905</v>
      </c>
      <c r="E6" s="89">
        <v>1.610570628E9</v>
      </c>
      <c r="F6" s="66">
        <f>IFERROR(__xludf.DUMMYFUNCTION("INDEX(SPLIT(E6, char(10)), 0, 1)/86400+date(1970,1,1)"),44209.863750000004)</f>
        <v>44209.86375</v>
      </c>
      <c r="G6" s="86" t="s">
        <v>1468</v>
      </c>
      <c r="H6" s="86" t="s">
        <v>1469</v>
      </c>
      <c r="I6" s="40" t="s">
        <v>14</v>
      </c>
    </row>
    <row r="7">
      <c r="B7" s="40" t="s">
        <v>13</v>
      </c>
      <c r="C7" s="69">
        <f t="shared" ref="C7:D7" si="3">SUM(C2:C6)</f>
        <v>21</v>
      </c>
      <c r="D7" s="70">
        <f t="shared" si="3"/>
        <v>1</v>
      </c>
      <c r="E7" s="89">
        <v>1.610570822E9</v>
      </c>
      <c r="F7" s="66">
        <f>IFERROR(__xludf.DUMMYFUNCTION("INDEX(SPLIT(E7, char(10)), 0, 1)/86400+date(1970,1,1)"),44209.865995370375)</f>
        <v>44209.866</v>
      </c>
      <c r="G7" s="86" t="s">
        <v>1470</v>
      </c>
      <c r="H7" s="86" t="s">
        <v>1471</v>
      </c>
      <c r="I7" s="40" t="s">
        <v>14</v>
      </c>
    </row>
    <row r="8">
      <c r="A8" s="71"/>
      <c r="B8" s="40" t="s">
        <v>18</v>
      </c>
      <c r="C8" s="57">
        <f t="shared" ref="C8:D8" si="4">SUM(C5:C6)</f>
        <v>13</v>
      </c>
      <c r="D8" s="14">
        <f t="shared" si="4"/>
        <v>0.619047619</v>
      </c>
      <c r="E8" s="89">
        <v>1.610571025E9</v>
      </c>
      <c r="F8" s="66">
        <f>IFERROR(__xludf.DUMMYFUNCTION("INDEX(SPLIT(E8, char(10)), 0, 1)/86400+date(1970,1,1)"),44209.86834490741)</f>
        <v>44209.86834</v>
      </c>
      <c r="G8" s="86" t="s">
        <v>1472</v>
      </c>
      <c r="H8" s="86" t="s">
        <v>1473</v>
      </c>
      <c r="I8" s="40" t="s">
        <v>16</v>
      </c>
    </row>
    <row r="9">
      <c r="A9" s="71"/>
      <c r="B9" s="40" t="s">
        <v>47</v>
      </c>
      <c r="C9" s="57">
        <f>SUM(C6:C7)</f>
        <v>25</v>
      </c>
      <c r="D9" s="14">
        <f>SUM(D5:D6) + D2</f>
        <v>0.6666666667</v>
      </c>
      <c r="E9" s="89">
        <v>1.61057122E9</v>
      </c>
      <c r="F9" s="66">
        <f>IFERROR(__xludf.DUMMYFUNCTION("INDEX(SPLIT(E9, char(10)), 0, 1)/86400+date(1970,1,1)"),44209.87060185186)</f>
        <v>44209.8706</v>
      </c>
      <c r="G9" s="86" t="s">
        <v>1474</v>
      </c>
      <c r="H9" s="86" t="s">
        <v>1475</v>
      </c>
      <c r="I9" s="40" t="s">
        <v>17</v>
      </c>
    </row>
    <row r="10">
      <c r="A10" s="71"/>
      <c r="B10" s="71"/>
      <c r="C10" s="71"/>
      <c r="D10" s="71"/>
      <c r="E10" s="89">
        <v>1.610571346E9</v>
      </c>
      <c r="F10" s="66">
        <f>IFERROR(__xludf.DUMMYFUNCTION("INDEX(SPLIT(E10, char(10)), 0, 1)/86400+date(1970,1,1)"),44209.87206018518)</f>
        <v>44209.87206</v>
      </c>
      <c r="G10" s="86" t="s">
        <v>1476</v>
      </c>
      <c r="H10" s="86" t="s">
        <v>1477</v>
      </c>
      <c r="I10" s="40" t="s">
        <v>15</v>
      </c>
    </row>
    <row r="11">
      <c r="A11" s="71"/>
      <c r="B11" s="71"/>
      <c r="C11" s="71"/>
      <c r="D11" s="71"/>
      <c r="E11" s="89">
        <v>1.610571857E9</v>
      </c>
      <c r="F11" s="66">
        <f>IFERROR(__xludf.DUMMYFUNCTION("INDEX(SPLIT(E11, char(10)), 0, 1)/86400+date(1970,1,1)"),44209.87797453704)</f>
        <v>44209.87797</v>
      </c>
      <c r="G11" s="86" t="s">
        <v>1478</v>
      </c>
      <c r="H11" s="86" t="s">
        <v>1479</v>
      </c>
      <c r="I11" s="40" t="s">
        <v>16</v>
      </c>
    </row>
    <row r="12">
      <c r="A12" s="72" t="s">
        <v>121</v>
      </c>
      <c r="B12" s="95" t="s">
        <v>1480</v>
      </c>
      <c r="C12" s="71"/>
      <c r="D12" s="74"/>
      <c r="E12" s="89">
        <v>1.610572909E9</v>
      </c>
      <c r="F12" s="66">
        <f>IFERROR(__xludf.DUMMYFUNCTION("INDEX(SPLIT(E12, char(10)), 0, 1)/86400+date(1970,1,1)"),44209.89015046296)</f>
        <v>44209.89015</v>
      </c>
      <c r="G12" s="86" t="s">
        <v>1481</v>
      </c>
      <c r="H12" s="86" t="s">
        <v>1482</v>
      </c>
      <c r="I12" s="40" t="s">
        <v>14</v>
      </c>
    </row>
    <row r="13">
      <c r="A13" s="72" t="s">
        <v>125</v>
      </c>
      <c r="B13" s="74"/>
      <c r="C13" s="72" t="s">
        <v>89</v>
      </c>
      <c r="D13" s="72" t="s">
        <v>90</v>
      </c>
      <c r="E13" s="89">
        <v>1.610573278E9</v>
      </c>
      <c r="F13" s="66">
        <f>IFERROR(__xludf.DUMMYFUNCTION("INDEX(SPLIT(E13, char(10)), 0, 1)/86400+date(1970,1,1)"),44209.894421296296)</f>
        <v>44209.89442</v>
      </c>
      <c r="G13" s="86" t="s">
        <v>1483</v>
      </c>
      <c r="H13" s="86" t="s">
        <v>1484</v>
      </c>
      <c r="I13" s="40" t="s">
        <v>14</v>
      </c>
    </row>
    <row r="14">
      <c r="A14" s="5" t="s">
        <v>128</v>
      </c>
      <c r="B14" s="5" t="s">
        <v>129</v>
      </c>
      <c r="C14" s="75">
        <f t="shared" ref="C14:C17" si="5">COUNTIF($A$19:$A1000, A14)</f>
        <v>5</v>
      </c>
      <c r="D14" s="76">
        <f>IFERROR(__xludf.DUMMYFUNCTION("IF(C14, COUNTIF(FILTER($D$19:$D1000, $A$19:$A1000=A14), TRUE)/C14, 0)"),0.8)</f>
        <v>0.8</v>
      </c>
      <c r="E14" s="89">
        <v>1.610573949E9</v>
      </c>
      <c r="F14" s="66">
        <f>IFERROR(__xludf.DUMMYFUNCTION("INDEX(SPLIT(E14, char(10)), 0, 1)/86400+date(1970,1,1)"),44209.9021875)</f>
        <v>44209.90219</v>
      </c>
      <c r="G14" s="86" t="s">
        <v>1485</v>
      </c>
      <c r="H14" s="86" t="s">
        <v>1486</v>
      </c>
      <c r="I14" s="40" t="s">
        <v>16</v>
      </c>
    </row>
    <row r="15">
      <c r="A15" s="5" t="s">
        <v>6</v>
      </c>
      <c r="B15" s="5" t="s">
        <v>132</v>
      </c>
      <c r="C15" s="75">
        <f t="shared" si="5"/>
        <v>5</v>
      </c>
      <c r="D15" s="76">
        <f>IFERROR(__xludf.DUMMYFUNCTION("IF(C15, COUNTIF(FILTER($D$19:$D1000, $A$19:$A1000=A15), TRUE)/C15, 0)"),0.0)</f>
        <v>0</v>
      </c>
      <c r="E15" s="89">
        <v>1.610574057E9</v>
      </c>
      <c r="F15" s="66">
        <f>IFERROR(__xludf.DUMMYFUNCTION("INDEX(SPLIT(E15, char(10)), 0, 1)/86400+date(1970,1,1)"),44209.903437500005)</f>
        <v>44209.90344</v>
      </c>
      <c r="G15" s="86" t="s">
        <v>1487</v>
      </c>
      <c r="H15" s="86" t="s">
        <v>1488</v>
      </c>
      <c r="I15" s="40" t="s">
        <v>17</v>
      </c>
    </row>
    <row r="16">
      <c r="A16" s="5" t="s">
        <v>7</v>
      </c>
      <c r="B16" s="5" t="s">
        <v>135</v>
      </c>
      <c r="C16" s="75">
        <f t="shared" si="5"/>
        <v>4</v>
      </c>
      <c r="D16" s="76">
        <f>IFERROR(__xludf.DUMMYFUNCTION("IF(C16, COUNTIF(FILTER($D$19:$D1000, $A$19:$A1000=A16), TRUE)/C16, 0)"),0.75)</f>
        <v>0.75</v>
      </c>
      <c r="E16" s="89">
        <v>1.610574163E9</v>
      </c>
      <c r="F16" s="66">
        <f>IFERROR(__xludf.DUMMYFUNCTION("INDEX(SPLIT(E16, char(10)), 0, 1)/86400+date(1970,1,1)"),44209.90466435185)</f>
        <v>44209.90466</v>
      </c>
      <c r="G16" s="86" t="s">
        <v>1489</v>
      </c>
      <c r="H16" s="86" t="s">
        <v>1490</v>
      </c>
      <c r="I16" s="40" t="s">
        <v>14</v>
      </c>
    </row>
    <row r="17">
      <c r="A17" s="5" t="s">
        <v>8</v>
      </c>
      <c r="B17" s="5" t="s">
        <v>79</v>
      </c>
      <c r="C17" s="75">
        <f t="shared" si="5"/>
        <v>10</v>
      </c>
      <c r="D17" s="76">
        <f>IFERROR(__xludf.DUMMYFUNCTION("IF(C17, COUNTIF(FILTER($D$19:$D1000, $A$19:$A1000=A17), TRUE)/C17, 0)"),0.4)</f>
        <v>0.4</v>
      </c>
      <c r="E17" s="89">
        <v>1.610574301E9</v>
      </c>
      <c r="F17" s="66">
        <f>IFERROR(__xludf.DUMMYFUNCTION("INDEX(SPLIT(E17, char(10)), 0, 1)/86400+date(1970,1,1)"),44209.90626157407)</f>
        <v>44209.90626</v>
      </c>
      <c r="G17" s="86" t="s">
        <v>1491</v>
      </c>
      <c r="H17" s="86" t="s">
        <v>1492</v>
      </c>
      <c r="I17" s="40" t="s">
        <v>14</v>
      </c>
    </row>
    <row r="18">
      <c r="A18" s="74"/>
      <c r="B18" s="72" t="s">
        <v>9</v>
      </c>
      <c r="C18" s="75">
        <f>SUM(C14:C17)</f>
        <v>24</v>
      </c>
      <c r="D18" s="76">
        <f>COUNTIF($D$19:$D1000, TRUE)/SUM($C$14:$C$17)</f>
        <v>0.4583333333</v>
      </c>
      <c r="E18" s="89">
        <v>1.610574405E9</v>
      </c>
      <c r="F18" s="66">
        <f>IFERROR(__xludf.DUMMYFUNCTION("INDEX(SPLIT(E18, char(10)), 0, 1)/86400+date(1970,1,1)"),44209.90746527778)</f>
        <v>44209.90747</v>
      </c>
      <c r="G18" s="86" t="s">
        <v>1493</v>
      </c>
      <c r="H18" s="86" t="s">
        <v>1494</v>
      </c>
      <c r="I18" s="40" t="s">
        <v>16</v>
      </c>
    </row>
    <row r="19">
      <c r="A19" s="72" t="s">
        <v>95</v>
      </c>
      <c r="B19" s="72" t="s">
        <v>142</v>
      </c>
      <c r="C19" s="72" t="s">
        <v>143</v>
      </c>
      <c r="D19" s="72" t="s">
        <v>144</v>
      </c>
      <c r="E19" s="89">
        <v>1.610574525E9</v>
      </c>
      <c r="F19" s="66">
        <f>IFERROR(__xludf.DUMMYFUNCTION("INDEX(SPLIT(E19, char(10)), 0, 1)/86400+date(1970,1,1)"),44209.90885416667)</f>
        <v>44209.90885</v>
      </c>
      <c r="G19" s="86" t="s">
        <v>1495</v>
      </c>
      <c r="H19" s="86" t="s">
        <v>1496</v>
      </c>
      <c r="I19" s="40" t="s">
        <v>16</v>
      </c>
    </row>
    <row r="20">
      <c r="A20" s="77" t="s">
        <v>7</v>
      </c>
      <c r="B20" s="77" t="s">
        <v>147</v>
      </c>
      <c r="C20" s="78">
        <v>1.0</v>
      </c>
      <c r="D20" s="80" t="b">
        <v>0</v>
      </c>
      <c r="E20" s="89">
        <v>1.610574662E9</v>
      </c>
      <c r="F20" s="66">
        <f>IFERROR(__xludf.DUMMYFUNCTION("INDEX(SPLIT(E20, char(10)), 0, 1)/86400+date(1970,1,1)"),44209.91043981482)</f>
        <v>44209.91044</v>
      </c>
      <c r="G20" s="86" t="s">
        <v>1497</v>
      </c>
      <c r="H20" s="86" t="s">
        <v>1498</v>
      </c>
      <c r="I20" s="40" t="s">
        <v>16</v>
      </c>
    </row>
    <row r="21">
      <c r="A21" s="68" t="s">
        <v>6</v>
      </c>
      <c r="B21" s="40" t="s">
        <v>1499</v>
      </c>
      <c r="C21" s="40">
        <v>17.0</v>
      </c>
      <c r="D21" s="80" t="b">
        <v>0</v>
      </c>
      <c r="E21" s="89">
        <v>1.610574798E9</v>
      </c>
      <c r="F21" s="66">
        <f>IFERROR(__xludf.DUMMYFUNCTION("INDEX(SPLIT(E21, char(10)), 0, 1)/86400+date(1970,1,1)"),44209.91201388889)</f>
        <v>44209.91201</v>
      </c>
      <c r="G21" s="86" t="s">
        <v>1500</v>
      </c>
      <c r="H21" s="86" t="s">
        <v>1501</v>
      </c>
      <c r="I21" s="40" t="s">
        <v>75</v>
      </c>
    </row>
    <row r="22">
      <c r="A22" s="40" t="s">
        <v>128</v>
      </c>
      <c r="B22" s="40" t="s">
        <v>1502</v>
      </c>
      <c r="C22" s="40">
        <v>22.0</v>
      </c>
      <c r="D22" s="80" t="b">
        <v>0</v>
      </c>
      <c r="E22" s="89">
        <v>1.610575069E9</v>
      </c>
      <c r="F22" s="66">
        <f>IFERROR(__xludf.DUMMYFUNCTION("INDEX(SPLIT(E22, char(10)), 0, 1)/86400+date(1970,1,1)"),44209.91515046296)</f>
        <v>44209.91515</v>
      </c>
      <c r="G22" s="86" t="s">
        <v>1503</v>
      </c>
      <c r="H22" s="86" t="s">
        <v>1504</v>
      </c>
      <c r="I22" s="40" t="s">
        <v>16</v>
      </c>
    </row>
    <row r="23">
      <c r="A23" s="68" t="s">
        <v>6</v>
      </c>
      <c r="B23" s="68" t="s">
        <v>1505</v>
      </c>
      <c r="C23" s="94">
        <v>26.0</v>
      </c>
      <c r="D23" s="80" t="b">
        <v>0</v>
      </c>
      <c r="F23" s="66"/>
      <c r="G23" s="86"/>
      <c r="H23" s="86"/>
      <c r="I23" s="41"/>
    </row>
    <row r="24">
      <c r="A24" s="40" t="s">
        <v>128</v>
      </c>
      <c r="B24" s="40" t="s">
        <v>1506</v>
      </c>
      <c r="C24" s="40">
        <v>29.0</v>
      </c>
      <c r="D24" s="80" t="b">
        <v>1</v>
      </c>
      <c r="F24" s="66"/>
      <c r="G24" s="86"/>
      <c r="H24" s="86"/>
      <c r="I24" s="41"/>
    </row>
    <row r="25">
      <c r="A25" s="68" t="s">
        <v>128</v>
      </c>
      <c r="B25" s="68" t="s">
        <v>1507</v>
      </c>
      <c r="C25" s="94">
        <v>39.0</v>
      </c>
      <c r="D25" s="80" t="b">
        <v>1</v>
      </c>
      <c r="F25" s="66"/>
      <c r="G25" s="86"/>
      <c r="H25" s="86"/>
      <c r="I25" s="41"/>
    </row>
    <row r="26">
      <c r="A26" s="5" t="s">
        <v>7</v>
      </c>
      <c r="B26" s="5" t="s">
        <v>153</v>
      </c>
      <c r="C26" s="78">
        <v>45.0</v>
      </c>
      <c r="D26" s="80" t="b">
        <v>1</v>
      </c>
      <c r="F26" s="66"/>
      <c r="G26" s="86"/>
      <c r="H26" s="86"/>
      <c r="I26" s="41"/>
    </row>
    <row r="27">
      <c r="A27" s="77" t="s">
        <v>7</v>
      </c>
      <c r="B27" s="74" t="s">
        <v>156</v>
      </c>
      <c r="C27" s="78">
        <v>46.0</v>
      </c>
      <c r="D27" s="80" t="b">
        <v>1</v>
      </c>
      <c r="F27" s="66"/>
      <c r="G27" s="86"/>
      <c r="H27" s="86"/>
      <c r="I27" s="41"/>
    </row>
    <row r="28">
      <c r="A28" s="68" t="s">
        <v>8</v>
      </c>
      <c r="B28" s="40" t="s">
        <v>1508</v>
      </c>
      <c r="C28" s="40">
        <v>46.0</v>
      </c>
      <c r="D28" s="80" t="b">
        <v>1</v>
      </c>
      <c r="F28" s="66"/>
      <c r="G28" s="86"/>
      <c r="H28" s="86"/>
      <c r="I28" s="41"/>
    </row>
    <row r="29">
      <c r="A29" s="68" t="s">
        <v>8</v>
      </c>
      <c r="B29" s="40" t="s">
        <v>1509</v>
      </c>
      <c r="C29" s="40">
        <v>56.0</v>
      </c>
      <c r="D29" s="80" t="b">
        <v>0</v>
      </c>
      <c r="F29" s="66"/>
      <c r="G29" s="86"/>
      <c r="H29" s="86"/>
      <c r="I29" s="41"/>
    </row>
    <row r="30">
      <c r="A30" s="68" t="s">
        <v>8</v>
      </c>
      <c r="B30" s="68" t="s">
        <v>1510</v>
      </c>
      <c r="C30" s="94">
        <v>56.0</v>
      </c>
      <c r="D30" s="80" t="b">
        <v>0</v>
      </c>
      <c r="F30" s="66"/>
      <c r="G30" s="86"/>
      <c r="H30" s="86"/>
      <c r="I30" s="41"/>
    </row>
    <row r="31">
      <c r="A31" s="68" t="s">
        <v>8</v>
      </c>
      <c r="B31" s="40" t="s">
        <v>1511</v>
      </c>
      <c r="C31" s="40">
        <v>65.0</v>
      </c>
      <c r="D31" s="80" t="b">
        <v>0</v>
      </c>
      <c r="F31" s="66"/>
      <c r="G31" s="86"/>
      <c r="H31" s="86"/>
      <c r="I31" s="41"/>
    </row>
    <row r="32">
      <c r="A32" s="68" t="s">
        <v>8</v>
      </c>
      <c r="B32" s="68" t="s">
        <v>1512</v>
      </c>
      <c r="C32" s="94">
        <v>65.0</v>
      </c>
      <c r="D32" s="80" t="b">
        <v>0</v>
      </c>
      <c r="F32" s="66"/>
      <c r="G32" s="86"/>
      <c r="H32" s="86"/>
      <c r="I32" s="41"/>
    </row>
    <row r="33">
      <c r="A33" s="68" t="s">
        <v>8</v>
      </c>
      <c r="B33" s="68" t="s">
        <v>1513</v>
      </c>
      <c r="C33" s="94">
        <v>66.0</v>
      </c>
      <c r="D33" s="80" t="b">
        <v>0</v>
      </c>
      <c r="F33" s="66"/>
      <c r="G33" s="86"/>
      <c r="H33" s="86"/>
      <c r="I33" s="41"/>
    </row>
    <row r="34">
      <c r="A34" s="68" t="s">
        <v>6</v>
      </c>
      <c r="B34" s="40" t="s">
        <v>1514</v>
      </c>
      <c r="C34" s="40">
        <v>72.0</v>
      </c>
      <c r="D34" s="80" t="b">
        <v>0</v>
      </c>
      <c r="F34" s="66"/>
      <c r="G34" s="86"/>
      <c r="H34" s="86"/>
      <c r="I34" s="41"/>
    </row>
    <row r="35">
      <c r="A35" s="68" t="s">
        <v>6</v>
      </c>
      <c r="B35" s="40" t="s">
        <v>1515</v>
      </c>
      <c r="C35" s="40">
        <v>77.0</v>
      </c>
      <c r="D35" s="80" t="b">
        <v>0</v>
      </c>
      <c r="F35" s="66"/>
      <c r="G35" s="86"/>
      <c r="H35" s="86"/>
      <c r="I35" s="41"/>
    </row>
    <row r="36">
      <c r="A36" s="68" t="s">
        <v>8</v>
      </c>
      <c r="B36" s="40" t="s">
        <v>1516</v>
      </c>
      <c r="C36" s="40">
        <v>80.0</v>
      </c>
      <c r="D36" s="80" t="b">
        <v>1</v>
      </c>
      <c r="F36" s="66"/>
      <c r="G36" s="86"/>
      <c r="H36" s="86"/>
      <c r="I36" s="41"/>
    </row>
    <row r="37">
      <c r="A37" s="68" t="s">
        <v>128</v>
      </c>
      <c r="B37" s="40" t="s">
        <v>1517</v>
      </c>
      <c r="C37" s="40">
        <v>85.0</v>
      </c>
      <c r="D37" s="80" t="b">
        <v>1</v>
      </c>
      <c r="F37" s="66"/>
      <c r="G37" s="86"/>
      <c r="H37" s="86"/>
      <c r="I37" s="41"/>
    </row>
    <row r="38">
      <c r="A38" s="68" t="s">
        <v>8</v>
      </c>
      <c r="B38" s="68" t="s">
        <v>1518</v>
      </c>
      <c r="C38" s="94">
        <v>88.0</v>
      </c>
      <c r="D38" s="80" t="b">
        <v>1</v>
      </c>
      <c r="F38" s="66"/>
      <c r="G38" s="86"/>
      <c r="H38" s="86"/>
      <c r="I38" s="41"/>
    </row>
    <row r="39">
      <c r="A39" s="68" t="s">
        <v>8</v>
      </c>
      <c r="B39" s="40" t="s">
        <v>1519</v>
      </c>
      <c r="C39" s="40">
        <v>88.0</v>
      </c>
      <c r="D39" s="80" t="b">
        <v>1</v>
      </c>
      <c r="F39" s="66"/>
      <c r="G39" s="86"/>
      <c r="H39" s="86"/>
      <c r="I39" s="41"/>
    </row>
    <row r="40">
      <c r="A40" s="68" t="s">
        <v>128</v>
      </c>
      <c r="B40" s="68" t="s">
        <v>1520</v>
      </c>
      <c r="C40" s="94">
        <v>89.0</v>
      </c>
      <c r="D40" s="80" t="b">
        <v>1</v>
      </c>
      <c r="F40" s="66"/>
      <c r="G40" s="86"/>
      <c r="H40" s="86"/>
      <c r="I40" s="41"/>
    </row>
    <row r="41">
      <c r="A41" s="68" t="s">
        <v>8</v>
      </c>
      <c r="B41" s="40" t="s">
        <v>1521</v>
      </c>
      <c r="C41" s="40">
        <v>90.0</v>
      </c>
      <c r="D41" s="80" t="b">
        <v>0</v>
      </c>
      <c r="F41" s="66"/>
      <c r="G41" s="86"/>
      <c r="H41" s="86"/>
      <c r="I41" s="41"/>
    </row>
    <row r="42">
      <c r="A42" s="68" t="s">
        <v>6</v>
      </c>
      <c r="B42" s="40" t="s">
        <v>1522</v>
      </c>
      <c r="C42" s="40">
        <v>94.0</v>
      </c>
      <c r="D42" s="80" t="b">
        <v>0</v>
      </c>
      <c r="F42" s="66"/>
      <c r="G42" s="86"/>
      <c r="H42" s="86"/>
      <c r="I42" s="41"/>
    </row>
    <row r="43">
      <c r="A43" s="77" t="s">
        <v>7</v>
      </c>
      <c r="B43" s="74" t="s">
        <v>181</v>
      </c>
      <c r="C43" s="78">
        <v>90.0</v>
      </c>
      <c r="D43" s="80" t="b">
        <v>1</v>
      </c>
      <c r="F43" s="66"/>
      <c r="G43" s="86"/>
      <c r="H43" s="86"/>
      <c r="I43" s="41"/>
    </row>
    <row r="44">
      <c r="A44" s="68"/>
      <c r="B44" s="68"/>
      <c r="C44" s="80"/>
      <c r="D44" s="80"/>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21 A23 A25:A44">
      <formula1>$A$14:$A$17</formula1>
    </dataValidation>
    <dataValidation type="list" allowBlank="1" sqref="I2:I51">
      <formula1>$A$2:$A$10</formula1>
    </dataValidation>
  </dataValidations>
  <hyperlinks>
    <hyperlink display="Back to summary" location="Summary (micro)!A1" ref="B1"/>
    <hyperlink r:id="rId1" ref="B12"/>
  </hyperlinks>
  <drawing r:id="rId2"/>
</worksheet>
</file>